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P:\Gare2020\CONSIP\Server\TS3\__CONFIGURATORI\"/>
    </mc:Choice>
  </mc:AlternateContent>
  <xr:revisionPtr revIDLastSave="0" documentId="8_{94A33C25-5F3B-4F7A-92FB-91DF539B1976}" xr6:coauthVersionLast="47" xr6:coauthVersionMax="47" xr10:uidLastSave="{00000000-0000-0000-0000-000000000000}"/>
  <workbookProtection workbookAlgorithmName="SHA-512" workbookHashValue="AQnGXM7xgO3+uxuVsvB9uJR5KZd0MOu2jCl7jomWiLXlvwQuNO/1Jsge9Di4GroMwvSmukRtpFl+fPB6Dnn+xQ==" workbookSaltValue="ekl2ubMm/UcuO5UuqhhhRw==" workbookSpinCount="100000" lockStructure="1"/>
  <bookViews>
    <workbookView xWindow="-120" yWindow="-120" windowWidth="29040" windowHeight="15840" xr2:uid="{00000000-000D-0000-FFFF-FFFF00000000}"/>
  </bookViews>
  <sheets>
    <sheet name="Lotto2_T640_1" sheetId="1" r:id="rId1"/>
    <sheet name="Lotto2_T640_2" sheetId="7" r:id="rId2"/>
    <sheet name="Lotto2_T640_3" sheetId="8" r:id="rId3"/>
    <sheet name="ConfigurationTS3L2" sheetId="2" state="hidden" r:id="rId4"/>
    <sheet name="Tabella_prezzi" sheetId="4" state="hidden" r:id="rId5"/>
    <sheet name="Altre_Opzioni" sheetId="10" r:id="rId6"/>
    <sheet name="Riepilogo" sheetId="5" r:id="rId7"/>
    <sheet name="Configurazione" sheetId="6" r:id="rId8"/>
  </sheets>
  <definedNames>
    <definedName name="_xlnm._FilterDatabase" localSheetId="7" hidden="1">Configurazione!$V$1:$V$56</definedName>
    <definedName name="_xlnm._FilterDatabase" localSheetId="6" hidden="1">Riepilogo!$J$1:$J$60</definedName>
    <definedName name="L2N_1">Lotto2_T640_1!$K:$K</definedName>
    <definedName name="L2N_2">Lotto2_T640_2!$K:$K</definedName>
    <definedName name="L2N_3">Lotto2_T640_3!$K:$K</definedName>
    <definedName name="TS3L2_ALL">ConfigurationTS3L2!$A$2:$M$203</definedName>
    <definedName name="TS3L2_BEZEL">ConfigurationTS3L2!$A$124:$M$126</definedName>
    <definedName name="TS3L2_Chassis">ConfigurationTS3L2!$A$6:$M$7</definedName>
    <definedName name="TS3L2_CPU">ConfigurationTS3L2!$A$10:$M$11</definedName>
    <definedName name="TS3L2_DVD">ConfigurationTS3L2!$A$129:$M$131</definedName>
    <definedName name="TS3L2_GUI">ConfigurationTS3L2!$A$147:$M$148</definedName>
    <definedName name="TS3L2_HDD">ConfigurationTS3L2!$A$42:$M$48</definedName>
    <definedName name="TS3L2_KYHDD">ConfigurationTS3L2!$A$138:$M$139</definedName>
    <definedName name="TS3L2_OS">ConfigurationTS3L2!$A$37:$T$39</definedName>
    <definedName name="TS3L2_PCI1">ConfigurationTS3L2!$A$64:$M$71</definedName>
    <definedName name="TS3L2_PCI2">ConfigurationTS3L2!$A$74:$M$75</definedName>
    <definedName name="TS3L2_PCI3">ConfigurationTS3L2!$A$78:$M$79</definedName>
    <definedName name="TS3L2_PCI4">ConfigurationTS3L2!$A$82:$M$89</definedName>
    <definedName name="TS3L2_PCI5">ConfigurationTS3L2!$A$92:$M$93</definedName>
    <definedName name="TS3L2_PCI6">ConfigurationTS3L2!$A$96:$M$103</definedName>
    <definedName name="TS3L2_PCI7">ConfigurationTS3L2!$A$106:$M$113</definedName>
    <definedName name="TS3L2_PCI8">ConfigurationTS3L2!$A$116:$M$117</definedName>
    <definedName name="TS3L2_PSU">ConfigurationTS3L2!$A$54:$M$56</definedName>
    <definedName name="TS3L2_RAM">ConfigurationTS3L2!$A$14:$M$34</definedName>
    <definedName name="TS3L2_UPS">ConfigurationTS3L2!$A$143:$M$144</definedName>
    <definedName name="TS3L2_WARRANTY">ConfigurationTS3L2!$A$134:$M$135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5" l="1"/>
  <c r="T30" i="5"/>
  <c r="R30" i="5"/>
  <c r="I40" i="1" l="1"/>
  <c r="I40" i="7"/>
  <c r="I40" i="8"/>
  <c r="K51" i="2" l="1"/>
  <c r="I51" i="2"/>
  <c r="H51" i="2"/>
  <c r="D51" i="2"/>
  <c r="M51" i="2"/>
  <c r="M50" i="2"/>
  <c r="L50" i="2"/>
  <c r="I50" i="2"/>
  <c r="G50" i="2"/>
  <c r="K53" i="5"/>
  <c r="P37" i="5" l="1"/>
  <c r="P36" i="5"/>
  <c r="M154" i="2"/>
  <c r="J154" i="2"/>
  <c r="I154" i="2"/>
  <c r="H154" i="2"/>
  <c r="D154" i="2"/>
  <c r="M153" i="2"/>
  <c r="J153" i="2"/>
  <c r="I153" i="2"/>
  <c r="H153" i="2"/>
  <c r="D153" i="2"/>
  <c r="D99" i="8" l="1"/>
  <c r="D96" i="8"/>
  <c r="D92" i="8"/>
  <c r="D89" i="8"/>
  <c r="D47" i="8"/>
  <c r="D16" i="8"/>
  <c r="D10" i="8"/>
  <c r="D7" i="8"/>
  <c r="D5" i="8"/>
  <c r="D99" i="7"/>
  <c r="D96" i="7"/>
  <c r="D92" i="7"/>
  <c r="D89" i="7"/>
  <c r="D47" i="7"/>
  <c r="D16" i="7"/>
  <c r="D10" i="7"/>
  <c r="D7" i="7"/>
  <c r="D5" i="7"/>
  <c r="D99" i="1"/>
  <c r="D96" i="1"/>
  <c r="D92" i="1"/>
  <c r="D89" i="1"/>
  <c r="D47" i="1"/>
  <c r="D16" i="1"/>
  <c r="D10" i="1"/>
  <c r="D7" i="1"/>
  <c r="D5" i="1"/>
  <c r="J16" i="2" l="1"/>
  <c r="J17" i="2"/>
  <c r="J18" i="2"/>
  <c r="J19" i="2"/>
  <c r="J20" i="2"/>
  <c r="I23" i="1" s="1"/>
  <c r="J15" i="2"/>
  <c r="I23" i="7" s="1"/>
  <c r="J26" i="2"/>
  <c r="J27" i="2"/>
  <c r="J28" i="2"/>
  <c r="J29" i="2"/>
  <c r="J30" i="2"/>
  <c r="J31" i="2"/>
  <c r="J32" i="2"/>
  <c r="J33" i="2"/>
  <c r="J34" i="2"/>
  <c r="J25" i="2"/>
  <c r="M113" i="2" l="1"/>
  <c r="K113" i="2"/>
  <c r="I113" i="2"/>
  <c r="H113" i="2"/>
  <c r="D113" i="2"/>
  <c r="M112" i="2"/>
  <c r="K112" i="2"/>
  <c r="I112" i="2"/>
  <c r="H112" i="2"/>
  <c r="D112" i="2"/>
  <c r="M103" i="2"/>
  <c r="K103" i="2"/>
  <c r="I103" i="2"/>
  <c r="H103" i="2"/>
  <c r="D103" i="2"/>
  <c r="M102" i="2"/>
  <c r="K102" i="2"/>
  <c r="I102" i="2"/>
  <c r="H102" i="2"/>
  <c r="D102" i="2"/>
  <c r="M71" i="2"/>
  <c r="K71" i="2"/>
  <c r="I71" i="2"/>
  <c r="H71" i="2"/>
  <c r="D71" i="2"/>
  <c r="M70" i="2"/>
  <c r="K70" i="2"/>
  <c r="I70" i="2"/>
  <c r="H70" i="2"/>
  <c r="D70" i="2"/>
  <c r="M88" i="2"/>
  <c r="K88" i="2"/>
  <c r="I88" i="2"/>
  <c r="H88" i="2"/>
  <c r="D88" i="2"/>
  <c r="F93" i="8" l="1"/>
  <c r="F93" i="7"/>
  <c r="F93" i="1"/>
  <c r="C42" i="8" l="1"/>
  <c r="C40" i="8"/>
  <c r="C38" i="8"/>
  <c r="C36" i="8"/>
  <c r="C42" i="7"/>
  <c r="C40" i="7"/>
  <c r="C38" i="7"/>
  <c r="C36" i="7"/>
  <c r="J87" i="8"/>
  <c r="E87" i="8" s="1"/>
  <c r="I87" i="8"/>
  <c r="J87" i="7"/>
  <c r="E87" i="7" s="1"/>
  <c r="I87" i="7"/>
  <c r="I87" i="1"/>
  <c r="E8" i="8"/>
  <c r="E8" i="7"/>
  <c r="E8" i="1"/>
  <c r="Q10" i="5"/>
  <c r="P10" i="5"/>
  <c r="H36" i="6"/>
  <c r="E36" i="6"/>
  <c r="V49" i="5"/>
  <c r="T49" i="5"/>
  <c r="R49" i="5"/>
  <c r="V48" i="5"/>
  <c r="T48" i="5"/>
  <c r="R48" i="5"/>
  <c r="V47" i="5"/>
  <c r="T47" i="5"/>
  <c r="R47" i="5"/>
  <c r="T31" i="5"/>
  <c r="V31" i="5"/>
  <c r="T29" i="5"/>
  <c r="V29" i="5"/>
  <c r="V28" i="5"/>
  <c r="T28" i="5"/>
  <c r="V27" i="5"/>
  <c r="T27" i="5"/>
  <c r="V42" i="5"/>
  <c r="J90" i="8"/>
  <c r="K81" i="8"/>
  <c r="U48" i="5" s="1"/>
  <c r="K78" i="8"/>
  <c r="U49" i="5" s="1"/>
  <c r="E32" i="8"/>
  <c r="F32" i="8" s="1"/>
  <c r="F23" i="8"/>
  <c r="V25" i="5" s="1"/>
  <c r="F20" i="8"/>
  <c r="K27" i="8" s="1"/>
  <c r="U40" i="5" s="1"/>
  <c r="J11" i="8"/>
  <c r="I11" i="8"/>
  <c r="K8" i="8"/>
  <c r="U23" i="5" s="1"/>
  <c r="F8" i="8"/>
  <c r="V23" i="5" s="1"/>
  <c r="T42" i="5"/>
  <c r="J90" i="7"/>
  <c r="K81" i="7"/>
  <c r="S48" i="5" s="1"/>
  <c r="K78" i="7"/>
  <c r="S49" i="5" s="1"/>
  <c r="E32" i="7"/>
  <c r="F32" i="7" s="1"/>
  <c r="F23" i="7"/>
  <c r="T25" i="5" s="1"/>
  <c r="F20" i="7"/>
  <c r="T24" i="5" s="1"/>
  <c r="J11" i="7"/>
  <c r="I11" i="7"/>
  <c r="K8" i="7"/>
  <c r="S23" i="5" s="1"/>
  <c r="F8" i="7"/>
  <c r="T23" i="5" s="1"/>
  <c r="K81" i="1"/>
  <c r="Q48" i="5" s="1"/>
  <c r="K78" i="1"/>
  <c r="Q49" i="5" s="1"/>
  <c r="M121" i="2"/>
  <c r="K121" i="2"/>
  <c r="J78" i="1" s="1"/>
  <c r="I121" i="2"/>
  <c r="H121" i="2"/>
  <c r="K120" i="2"/>
  <c r="J81" i="1" s="1"/>
  <c r="I120" i="2"/>
  <c r="H120" i="2"/>
  <c r="G120" i="2"/>
  <c r="M120" i="2"/>
  <c r="I11" i="1"/>
  <c r="K7" i="2"/>
  <c r="J11" i="1" s="1"/>
  <c r="I7" i="2"/>
  <c r="H7" i="2"/>
  <c r="D7" i="2"/>
  <c r="M7" i="2"/>
  <c r="M6" i="2"/>
  <c r="E11" i="7" s="1"/>
  <c r="L6" i="2"/>
  <c r="K11" i="1" s="1"/>
  <c r="Q50" i="5" s="1"/>
  <c r="I6" i="2"/>
  <c r="G6" i="2"/>
  <c r="F11" i="7" s="1"/>
  <c r="T50" i="5" s="1"/>
  <c r="M110" i="2"/>
  <c r="J110" i="2"/>
  <c r="I110" i="2"/>
  <c r="D110" i="2"/>
  <c r="M109" i="2"/>
  <c r="J109" i="2"/>
  <c r="I109" i="2"/>
  <c r="D109" i="2"/>
  <c r="M100" i="2"/>
  <c r="K100" i="2"/>
  <c r="I100" i="2"/>
  <c r="D100" i="2"/>
  <c r="M99" i="2"/>
  <c r="K99" i="2"/>
  <c r="I99" i="2"/>
  <c r="D99" i="2"/>
  <c r="M86" i="2"/>
  <c r="K86" i="2"/>
  <c r="I86" i="2"/>
  <c r="D86" i="2"/>
  <c r="M85" i="2"/>
  <c r="K85" i="2"/>
  <c r="I85" i="2"/>
  <c r="D85" i="2"/>
  <c r="M67" i="2"/>
  <c r="M68" i="2"/>
  <c r="K68" i="2"/>
  <c r="I68" i="2"/>
  <c r="D68" i="2"/>
  <c r="K67" i="2"/>
  <c r="I67" i="2"/>
  <c r="D67" i="2"/>
  <c r="J148" i="2"/>
  <c r="I148" i="2"/>
  <c r="H148" i="2"/>
  <c r="H144" i="2"/>
  <c r="I144" i="2"/>
  <c r="J144" i="2"/>
  <c r="J140" i="2"/>
  <c r="I140" i="2"/>
  <c r="H140" i="2"/>
  <c r="H139" i="2"/>
  <c r="I139" i="2"/>
  <c r="J139" i="2"/>
  <c r="J135" i="2"/>
  <c r="I90" i="7" s="1"/>
  <c r="I135" i="2"/>
  <c r="H135" i="2"/>
  <c r="K44" i="5"/>
  <c r="K54" i="5"/>
  <c r="K41" i="5"/>
  <c r="K52" i="5"/>
  <c r="K51" i="5"/>
  <c r="K50" i="5"/>
  <c r="K49" i="5"/>
  <c r="K48" i="5"/>
  <c r="K47" i="5"/>
  <c r="K46" i="5"/>
  <c r="K45" i="5"/>
  <c r="E11" i="1" l="1"/>
  <c r="O31" i="5"/>
  <c r="N31" i="5"/>
  <c r="K11" i="7"/>
  <c r="S50" i="5" s="1"/>
  <c r="E11" i="8"/>
  <c r="F11" i="8"/>
  <c r="V50" i="5" s="1"/>
  <c r="F11" i="1"/>
  <c r="R50" i="5" s="1"/>
  <c r="K11" i="8"/>
  <c r="U50" i="5" s="1"/>
  <c r="F27" i="7"/>
  <c r="T40" i="5" s="1"/>
  <c r="F27" i="8"/>
  <c r="V40" i="5" s="1"/>
  <c r="E78" i="1"/>
  <c r="I90" i="8"/>
  <c r="E81" i="1"/>
  <c r="J81" i="7"/>
  <c r="E81" i="7" s="1"/>
  <c r="J81" i="8"/>
  <c r="E81" i="8" s="1"/>
  <c r="V24" i="5"/>
  <c r="J78" i="7"/>
  <c r="E78" i="7" s="1"/>
  <c r="J78" i="8"/>
  <c r="E78" i="8" s="1"/>
  <c r="K27" i="7"/>
  <c r="S40" i="5" s="1"/>
  <c r="A60" i="2" l="1"/>
  <c r="M69" i="2"/>
  <c r="K69" i="2"/>
  <c r="I69" i="2"/>
  <c r="H69" i="2"/>
  <c r="D69" i="2"/>
  <c r="M87" i="2"/>
  <c r="K87" i="2"/>
  <c r="I87" i="2"/>
  <c r="H87" i="2"/>
  <c r="D87" i="2"/>
  <c r="M101" i="2"/>
  <c r="K101" i="2"/>
  <c r="I101" i="2"/>
  <c r="H101" i="2"/>
  <c r="D101" i="2"/>
  <c r="M111" i="2"/>
  <c r="K111" i="2"/>
  <c r="I111" i="2"/>
  <c r="H111" i="2"/>
  <c r="D111" i="2"/>
  <c r="M117" i="2"/>
  <c r="J117" i="2"/>
  <c r="I117" i="2"/>
  <c r="H117" i="2"/>
  <c r="D117" i="2"/>
  <c r="M116" i="2"/>
  <c r="L116" i="2"/>
  <c r="I116" i="2"/>
  <c r="G116" i="2"/>
  <c r="A116" i="2"/>
  <c r="M108" i="2"/>
  <c r="L108" i="2"/>
  <c r="I108" i="2"/>
  <c r="G108" i="2"/>
  <c r="M107" i="2"/>
  <c r="J107" i="2"/>
  <c r="I107" i="2"/>
  <c r="H107" i="2"/>
  <c r="D107" i="2"/>
  <c r="M106" i="2"/>
  <c r="L106" i="2"/>
  <c r="I106" i="2"/>
  <c r="G106" i="2"/>
  <c r="A106" i="2"/>
  <c r="M98" i="2"/>
  <c r="L98" i="2"/>
  <c r="I98" i="2"/>
  <c r="G98" i="2"/>
  <c r="M97" i="2"/>
  <c r="J97" i="2"/>
  <c r="I97" i="2"/>
  <c r="H97" i="2"/>
  <c r="D97" i="2"/>
  <c r="M96" i="2"/>
  <c r="L96" i="2"/>
  <c r="I96" i="2"/>
  <c r="G96" i="2"/>
  <c r="A96" i="2"/>
  <c r="M93" i="2"/>
  <c r="J93" i="2"/>
  <c r="I93" i="2"/>
  <c r="H93" i="2"/>
  <c r="D93" i="2"/>
  <c r="M92" i="2"/>
  <c r="L92" i="2"/>
  <c r="I92" i="2"/>
  <c r="G92" i="2"/>
  <c r="A92" i="2"/>
  <c r="M89" i="2"/>
  <c r="K89" i="2"/>
  <c r="I89" i="2"/>
  <c r="H89" i="2"/>
  <c r="D89" i="2"/>
  <c r="M84" i="2"/>
  <c r="L84" i="2"/>
  <c r="I84" i="2"/>
  <c r="G84" i="2"/>
  <c r="M83" i="2"/>
  <c r="J83" i="2"/>
  <c r="I83" i="2"/>
  <c r="H83" i="2"/>
  <c r="D83" i="2"/>
  <c r="M82" i="2"/>
  <c r="L82" i="2"/>
  <c r="I82" i="2"/>
  <c r="G82" i="2"/>
  <c r="A82" i="2"/>
  <c r="M79" i="2"/>
  <c r="J79" i="2"/>
  <c r="I79" i="2"/>
  <c r="H79" i="2"/>
  <c r="D79" i="2"/>
  <c r="M78" i="2"/>
  <c r="L78" i="2"/>
  <c r="I78" i="2"/>
  <c r="G78" i="2"/>
  <c r="A78" i="2"/>
  <c r="I60" i="1" s="1"/>
  <c r="M75" i="2"/>
  <c r="J75" i="2"/>
  <c r="I75" i="2"/>
  <c r="H75" i="2"/>
  <c r="D75" i="2"/>
  <c r="M74" i="2"/>
  <c r="L74" i="2"/>
  <c r="I74" i="2"/>
  <c r="G74" i="2"/>
  <c r="A74" i="2"/>
  <c r="M66" i="2"/>
  <c r="L66" i="2"/>
  <c r="I66" i="2"/>
  <c r="G66" i="2"/>
  <c r="M65" i="2"/>
  <c r="J65" i="2"/>
  <c r="I65" i="2"/>
  <c r="H65" i="2"/>
  <c r="D65" i="2"/>
  <c r="M64" i="2"/>
  <c r="L64" i="2"/>
  <c r="I64" i="2"/>
  <c r="G64" i="2"/>
  <c r="A64" i="2"/>
  <c r="F60" i="1" l="1"/>
  <c r="R34" i="5" s="1"/>
  <c r="F60" i="8"/>
  <c r="V34" i="5" s="1"/>
  <c r="F60" i="7"/>
  <c r="T34" i="5" s="1"/>
  <c r="J60" i="7"/>
  <c r="J60" i="8"/>
  <c r="I60" i="7"/>
  <c r="I60" i="8"/>
  <c r="F54" i="8"/>
  <c r="V32" i="5" s="1"/>
  <c r="I54" i="8"/>
  <c r="F54" i="7"/>
  <c r="T32" i="5" s="1"/>
  <c r="I54" i="7"/>
  <c r="E54" i="8"/>
  <c r="J54" i="7"/>
  <c r="E54" i="7"/>
  <c r="J54" i="8"/>
  <c r="J57" i="7"/>
  <c r="I57" i="7"/>
  <c r="J57" i="8"/>
  <c r="F57" i="7"/>
  <c r="T33" i="5" s="1"/>
  <c r="I57" i="8"/>
  <c r="E57" i="7"/>
  <c r="F57" i="8"/>
  <c r="V33" i="5" s="1"/>
  <c r="E57" i="8"/>
  <c r="J60" i="1"/>
  <c r="E60" i="8"/>
  <c r="E60" i="7"/>
  <c r="E60" i="1"/>
  <c r="E32" i="1" l="1"/>
  <c r="H119" i="2" l="1"/>
  <c r="D119" i="2"/>
  <c r="I119" i="2"/>
  <c r="K119" i="2"/>
  <c r="J84" i="1" l="1"/>
  <c r="J84" i="8"/>
  <c r="J84" i="7"/>
  <c r="R31" i="5"/>
  <c r="M31" i="5" s="1"/>
  <c r="R29" i="5"/>
  <c r="R28" i="5"/>
  <c r="R27" i="5"/>
  <c r="F32" i="1" l="1"/>
  <c r="C42" i="1"/>
  <c r="C40" i="1"/>
  <c r="C38" i="1"/>
  <c r="C36" i="1"/>
  <c r="K8" i="1" l="1"/>
  <c r="K40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23" i="5"/>
  <c r="Q38" i="2"/>
  <c r="O38" i="2"/>
  <c r="P38" i="2"/>
  <c r="T38" i="2"/>
  <c r="T39" i="2"/>
  <c r="S39" i="2"/>
  <c r="R39" i="2"/>
  <c r="Q39" i="2"/>
  <c r="P39" i="2"/>
  <c r="T37" i="2"/>
  <c r="S37" i="2"/>
  <c r="R37" i="2"/>
  <c r="Q37" i="2"/>
  <c r="P37" i="2"/>
  <c r="E27" i="8" l="1"/>
  <c r="E27" i="7"/>
  <c r="I27" i="8"/>
  <c r="I27" i="7"/>
  <c r="F23" i="2" l="1"/>
  <c r="M34" i="2"/>
  <c r="M33" i="2"/>
  <c r="M32" i="2"/>
  <c r="M31" i="2"/>
  <c r="M30" i="2"/>
  <c r="M29" i="2"/>
  <c r="M28" i="2"/>
  <c r="M27" i="2"/>
  <c r="M26" i="2"/>
  <c r="M25" i="2"/>
  <c r="M24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J24" i="2"/>
  <c r="I24" i="2"/>
  <c r="H24" i="2"/>
  <c r="H23" i="2" s="1"/>
  <c r="D34" i="2"/>
  <c r="D33" i="2"/>
  <c r="D32" i="2"/>
  <c r="D31" i="2"/>
  <c r="D30" i="2"/>
  <c r="D29" i="2"/>
  <c r="D28" i="2"/>
  <c r="D27" i="2"/>
  <c r="D26" i="2"/>
  <c r="D25" i="2"/>
  <c r="D24" i="2"/>
  <c r="D23" i="2" s="1"/>
  <c r="F14" i="2"/>
  <c r="M14" i="2"/>
  <c r="L14" i="2"/>
  <c r="I14" i="2"/>
  <c r="M23" i="2"/>
  <c r="L23" i="2"/>
  <c r="I23" i="2"/>
  <c r="M20" i="2"/>
  <c r="M19" i="2"/>
  <c r="M18" i="2"/>
  <c r="M17" i="2"/>
  <c r="M16" i="2"/>
  <c r="M15" i="2"/>
  <c r="I20" i="2"/>
  <c r="H20" i="2"/>
  <c r="I19" i="2"/>
  <c r="H19" i="2"/>
  <c r="I18" i="2"/>
  <c r="H18" i="2"/>
  <c r="I17" i="2"/>
  <c r="H17" i="2"/>
  <c r="I16" i="2"/>
  <c r="H16" i="2"/>
  <c r="I15" i="2"/>
  <c r="H15" i="2"/>
  <c r="H14" i="2" s="1"/>
  <c r="D16" i="2"/>
  <c r="D17" i="2"/>
  <c r="D18" i="2"/>
  <c r="D19" i="2"/>
  <c r="D20" i="2"/>
  <c r="D15" i="2"/>
  <c r="D14" i="2" s="1"/>
  <c r="M11" i="2"/>
  <c r="F20" i="1"/>
  <c r="F27" i="1" s="1"/>
  <c r="D11" i="2"/>
  <c r="J11" i="2"/>
  <c r="I11" i="2"/>
  <c r="H11" i="2"/>
  <c r="M10" i="2"/>
  <c r="L10" i="2"/>
  <c r="K20" i="1" s="1"/>
  <c r="Q24" i="5" s="1"/>
  <c r="I10" i="2"/>
  <c r="D148" i="2"/>
  <c r="D144" i="2"/>
  <c r="D140" i="2"/>
  <c r="D139" i="2"/>
  <c r="D135" i="2"/>
  <c r="D56" i="2"/>
  <c r="D47" i="2"/>
  <c r="D46" i="2"/>
  <c r="D45" i="2"/>
  <c r="D44" i="2"/>
  <c r="D43" i="2"/>
  <c r="D39" i="2"/>
  <c r="D38" i="2"/>
  <c r="K131" i="2"/>
  <c r="I131" i="2"/>
  <c r="H131" i="2"/>
  <c r="K126" i="2"/>
  <c r="J87" i="1" s="1"/>
  <c r="I126" i="2"/>
  <c r="H126" i="2"/>
  <c r="K56" i="2"/>
  <c r="I56" i="2"/>
  <c r="H56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39" i="2"/>
  <c r="I39" i="2"/>
  <c r="H39" i="2"/>
  <c r="J38" i="2"/>
  <c r="I38" i="2"/>
  <c r="H38" i="2"/>
  <c r="M148" i="2"/>
  <c r="M144" i="2"/>
  <c r="M140" i="2"/>
  <c r="M139" i="2"/>
  <c r="M135" i="2"/>
  <c r="M131" i="2"/>
  <c r="M126" i="2"/>
  <c r="M119" i="2"/>
  <c r="M56" i="2"/>
  <c r="M47" i="2"/>
  <c r="M46" i="2"/>
  <c r="M45" i="2"/>
  <c r="M44" i="2"/>
  <c r="M43" i="2"/>
  <c r="M39" i="2"/>
  <c r="M38" i="2"/>
  <c r="H3" i="2"/>
  <c r="D3" i="2"/>
  <c r="I3" i="2"/>
  <c r="J3" i="2"/>
  <c r="M3" i="2"/>
  <c r="K23" i="8" l="1"/>
  <c r="U25" i="5" s="1"/>
  <c r="K23" i="7"/>
  <c r="S25" i="5" s="1"/>
  <c r="K23" i="1"/>
  <c r="K20" i="8"/>
  <c r="U24" i="5" s="1"/>
  <c r="K20" i="7"/>
  <c r="S24" i="5" s="1"/>
  <c r="I26" i="8"/>
  <c r="I26" i="7"/>
  <c r="I23" i="8"/>
  <c r="E23" i="7"/>
  <c r="E23" i="8"/>
  <c r="I8" i="8"/>
  <c r="I8" i="7"/>
  <c r="I42" i="8"/>
  <c r="I42" i="7"/>
  <c r="I20" i="8"/>
  <c r="I20" i="7"/>
  <c r="E20" i="1"/>
  <c r="E20" i="7"/>
  <c r="E20" i="8"/>
  <c r="I8" i="1"/>
  <c r="I20" i="1"/>
  <c r="E27" i="1"/>
  <c r="R24" i="5"/>
  <c r="K27" i="1"/>
  <c r="Q40" i="5" s="1"/>
  <c r="R40" i="5"/>
  <c r="I27" i="1"/>
  <c r="I75" i="8" l="1"/>
  <c r="E72" i="8"/>
  <c r="E63" i="8"/>
  <c r="F72" i="8"/>
  <c r="V38" i="5" s="1"/>
  <c r="F63" i="8"/>
  <c r="V35" i="5" s="1"/>
  <c r="I72" i="8"/>
  <c r="E69" i="8"/>
  <c r="K69" i="8"/>
  <c r="U37" i="5" s="1"/>
  <c r="J66" i="8"/>
  <c r="K75" i="8"/>
  <c r="U39" i="5" s="1"/>
  <c r="K66" i="8"/>
  <c r="U36" i="5" s="1"/>
  <c r="I63" i="8"/>
  <c r="J72" i="8"/>
  <c r="F69" i="8"/>
  <c r="V37" i="5" s="1"/>
  <c r="I69" i="8"/>
  <c r="J69" i="8"/>
  <c r="F66" i="8"/>
  <c r="V36" i="5" s="1"/>
  <c r="J63" i="8"/>
  <c r="K72" i="8"/>
  <c r="U38" i="5" s="1"/>
  <c r="K63" i="8"/>
  <c r="U35" i="5" s="1"/>
  <c r="E75" i="8"/>
  <c r="E66" i="8"/>
  <c r="F75" i="8"/>
  <c r="V39" i="5" s="1"/>
  <c r="I66" i="8"/>
  <c r="J75" i="8"/>
  <c r="I75" i="7"/>
  <c r="F69" i="7"/>
  <c r="T37" i="5" s="1"/>
  <c r="J75" i="7"/>
  <c r="I66" i="7"/>
  <c r="E72" i="7"/>
  <c r="K72" i="7"/>
  <c r="S38" i="5" s="1"/>
  <c r="J63" i="7"/>
  <c r="I69" i="7"/>
  <c r="I72" i="7"/>
  <c r="E63" i="7"/>
  <c r="F72" i="7"/>
  <c r="T38" i="5" s="1"/>
  <c r="J66" i="7"/>
  <c r="K75" i="7"/>
  <c r="S39" i="5" s="1"/>
  <c r="J69" i="7"/>
  <c r="F66" i="7"/>
  <c r="T36" i="5" s="1"/>
  <c r="F63" i="7"/>
  <c r="T35" i="5" s="1"/>
  <c r="E69" i="7"/>
  <c r="E66" i="7"/>
  <c r="F75" i="7"/>
  <c r="T39" i="5" s="1"/>
  <c r="K69" i="7"/>
  <c r="S37" i="5" s="1"/>
  <c r="K63" i="7"/>
  <c r="S35" i="5" s="1"/>
  <c r="E75" i="7"/>
  <c r="K66" i="7"/>
  <c r="S36" i="5" s="1"/>
  <c r="I63" i="7"/>
  <c r="J72" i="7"/>
  <c r="K75" i="1"/>
  <c r="Q39" i="5" s="1"/>
  <c r="K63" i="1"/>
  <c r="Q35" i="5" s="1"/>
  <c r="K72" i="1"/>
  <c r="Q38" i="5" s="1"/>
  <c r="K69" i="1"/>
  <c r="Q37" i="5" s="1"/>
  <c r="K66" i="1"/>
  <c r="Q36" i="5" s="1"/>
  <c r="J66" i="1"/>
  <c r="I75" i="1"/>
  <c r="F75" i="1"/>
  <c r="R39" i="5" s="1"/>
  <c r="E75" i="1"/>
  <c r="F63" i="1"/>
  <c r="R35" i="5" s="1"/>
  <c r="I63" i="1"/>
  <c r="J69" i="1"/>
  <c r="I72" i="1"/>
  <c r="F69" i="1"/>
  <c r="R37" i="5" s="1"/>
  <c r="E72" i="1"/>
  <c r="E63" i="1"/>
  <c r="J72" i="1"/>
  <c r="I69" i="1"/>
  <c r="F72" i="1"/>
  <c r="R38" i="5" s="1"/>
  <c r="E69" i="1"/>
  <c r="J63" i="1"/>
  <c r="J75" i="1"/>
  <c r="I66" i="1"/>
  <c r="F66" i="1"/>
  <c r="R36" i="5" s="1"/>
  <c r="E66" i="1"/>
  <c r="F8" i="1"/>
  <c r="O10" i="5" l="1"/>
  <c r="H5" i="8" l="1"/>
  <c r="H5" i="7"/>
  <c r="H5" i="1"/>
  <c r="M9" i="5"/>
  <c r="O18" i="5"/>
  <c r="O13" i="5"/>
  <c r="M18" i="5"/>
  <c r="M13" i="5"/>
  <c r="M16" i="5"/>
  <c r="M11" i="5"/>
  <c r="M6" i="5"/>
  <c r="M4" i="5"/>
  <c r="M2" i="5"/>
  <c r="M7" i="5" l="1"/>
  <c r="N7" i="5" s="1"/>
  <c r="E6" i="5"/>
  <c r="N9" i="5"/>
  <c r="Q11" i="5" l="1"/>
  <c r="E4" i="5"/>
  <c r="G119" i="2" l="1"/>
  <c r="G124" i="2"/>
  <c r="I124" i="2"/>
  <c r="L124" i="2"/>
  <c r="M124" i="2"/>
  <c r="G125" i="2"/>
  <c r="I125" i="2"/>
  <c r="L125" i="2"/>
  <c r="M125" i="2"/>
  <c r="F87" i="7" l="1"/>
  <c r="T46" i="5" s="1"/>
  <c r="F87" i="1"/>
  <c r="F87" i="8"/>
  <c r="V46" i="5" s="1"/>
  <c r="B36" i="6"/>
  <c r="O22" i="5"/>
  <c r="O30" i="5" s="1"/>
  <c r="N22" i="5"/>
  <c r="N30" i="5" s="1"/>
  <c r="M22" i="5"/>
  <c r="R23" i="5"/>
  <c r="N51" i="5" l="1"/>
  <c r="O51" i="5"/>
  <c r="M51" i="5"/>
  <c r="H2" i="6"/>
  <c r="E2" i="6"/>
  <c r="B2" i="6"/>
  <c r="N10" i="5"/>
  <c r="M10" i="5" s="1"/>
  <c r="E7" i="5" l="1"/>
  <c r="Q23" i="5"/>
  <c r="M147" i="2" l="1"/>
  <c r="L147" i="2"/>
  <c r="I147" i="2"/>
  <c r="G147" i="2"/>
  <c r="A147" i="2"/>
  <c r="A143" i="2"/>
  <c r="M143" i="2"/>
  <c r="L143" i="2"/>
  <c r="I143" i="2"/>
  <c r="G143" i="2"/>
  <c r="I100" i="1" l="1"/>
  <c r="J100" i="8"/>
  <c r="F100" i="8"/>
  <c r="V45" i="5" s="1"/>
  <c r="J100" i="7"/>
  <c r="E100" i="7"/>
  <c r="I100" i="7"/>
  <c r="F100" i="7"/>
  <c r="T45" i="5" s="1"/>
  <c r="I100" i="8"/>
  <c r="E100" i="8"/>
  <c r="J97" i="7"/>
  <c r="I97" i="7"/>
  <c r="F97" i="7"/>
  <c r="T44" i="5" s="1"/>
  <c r="J97" i="8"/>
  <c r="E97" i="7"/>
  <c r="F97" i="8"/>
  <c r="V44" i="5" s="1"/>
  <c r="I97" i="8"/>
  <c r="E97" i="8"/>
  <c r="E97" i="1"/>
  <c r="J100" i="1"/>
  <c r="E100" i="1"/>
  <c r="I97" i="1"/>
  <c r="J97" i="1"/>
  <c r="F97" i="1"/>
  <c r="R44" i="5" s="1"/>
  <c r="F100" i="1"/>
  <c r="R45" i="5" s="1"/>
  <c r="M130" i="2"/>
  <c r="L130" i="2"/>
  <c r="I130" i="2"/>
  <c r="G130" i="2"/>
  <c r="M55" i="2"/>
  <c r="L55" i="2"/>
  <c r="I55" i="2"/>
  <c r="G55" i="2"/>
  <c r="J90" i="1"/>
  <c r="I90" i="1"/>
  <c r="E87" i="1"/>
  <c r="R46" i="5"/>
  <c r="J54" i="1"/>
  <c r="I54" i="1"/>
  <c r="F54" i="1"/>
  <c r="R32" i="5" s="1"/>
  <c r="E54" i="1"/>
  <c r="I26" i="1"/>
  <c r="F23" i="1"/>
  <c r="M138" i="2"/>
  <c r="L138" i="2"/>
  <c r="I138" i="2"/>
  <c r="G138" i="2"/>
  <c r="A138" i="2"/>
  <c r="M134" i="2"/>
  <c r="L134" i="2"/>
  <c r="I134" i="2"/>
  <c r="G134" i="2"/>
  <c r="M129" i="2"/>
  <c r="L129" i="2"/>
  <c r="I129" i="2"/>
  <c r="G129" i="2"/>
  <c r="J57" i="1"/>
  <c r="M54" i="2"/>
  <c r="L54" i="2"/>
  <c r="I54" i="2"/>
  <c r="G54" i="2"/>
  <c r="M42" i="2"/>
  <c r="L42" i="2"/>
  <c r="I42" i="2"/>
  <c r="G42" i="2"/>
  <c r="A42" i="2"/>
  <c r="M37" i="2"/>
  <c r="L37" i="2"/>
  <c r="I37" i="2"/>
  <c r="G37" i="2"/>
  <c r="F26" i="1" s="1"/>
  <c r="R26" i="5" s="1"/>
  <c r="E23" i="1"/>
  <c r="J29" i="7" l="1"/>
  <c r="D28" i="7" s="1"/>
  <c r="E29" i="1"/>
  <c r="K29" i="7"/>
  <c r="I29" i="7"/>
  <c r="K29" i="8"/>
  <c r="F29" i="7"/>
  <c r="J29" i="8"/>
  <c r="D28" i="8" s="1"/>
  <c r="E29" i="7"/>
  <c r="I29" i="8"/>
  <c r="J29" i="1"/>
  <c r="D28" i="1" s="1"/>
  <c r="F29" i="1"/>
  <c r="F29" i="8"/>
  <c r="I29" i="1"/>
  <c r="E29" i="8"/>
  <c r="K29" i="1"/>
  <c r="K84" i="8"/>
  <c r="U47" i="5" s="1"/>
  <c r="K84" i="7"/>
  <c r="S47" i="5" s="1"/>
  <c r="E84" i="7"/>
  <c r="E84" i="8"/>
  <c r="K57" i="8"/>
  <c r="U33" i="5" s="1"/>
  <c r="J42" i="8"/>
  <c r="K57" i="7"/>
  <c r="S33" i="5" s="1"/>
  <c r="K87" i="8"/>
  <c r="U46" i="5" s="1"/>
  <c r="K97" i="8"/>
  <c r="U44" i="5" s="1"/>
  <c r="J38" i="8"/>
  <c r="K100" i="7"/>
  <c r="S45" i="5" s="1"/>
  <c r="K87" i="7"/>
  <c r="S46" i="5" s="1"/>
  <c r="K97" i="7"/>
  <c r="S44" i="5" s="1"/>
  <c r="K87" i="1"/>
  <c r="Q46" i="5" s="1"/>
  <c r="J34" i="8"/>
  <c r="K60" i="7"/>
  <c r="S34" i="5" s="1"/>
  <c r="K90" i="8"/>
  <c r="U43" i="5" s="1"/>
  <c r="K54" i="7"/>
  <c r="S32" i="5" s="1"/>
  <c r="K100" i="8"/>
  <c r="U45" i="5" s="1"/>
  <c r="K60" i="8"/>
  <c r="U34" i="5" s="1"/>
  <c r="K90" i="7"/>
  <c r="S43" i="5" s="1"/>
  <c r="K84" i="1"/>
  <c r="Q47" i="5" s="1"/>
  <c r="K54" i="8"/>
  <c r="U32" i="5" s="1"/>
  <c r="K38" i="7"/>
  <c r="S29" i="5" s="1"/>
  <c r="J40" i="7"/>
  <c r="J36" i="7"/>
  <c r="K36" i="7"/>
  <c r="S28" i="5" s="1"/>
  <c r="J40" i="8"/>
  <c r="K40" i="8"/>
  <c r="U30" i="5" s="1"/>
  <c r="J38" i="7"/>
  <c r="J36" i="8"/>
  <c r="K40" i="7"/>
  <c r="S30" i="5" s="1"/>
  <c r="J34" i="7"/>
  <c r="K34" i="8"/>
  <c r="U27" i="5" s="1"/>
  <c r="J42" i="7"/>
  <c r="K42" i="8"/>
  <c r="U31" i="5" s="1"/>
  <c r="K38" i="8"/>
  <c r="U29" i="5" s="1"/>
  <c r="K36" i="8"/>
  <c r="U28" i="5" s="1"/>
  <c r="K34" i="7"/>
  <c r="S27" i="5" s="1"/>
  <c r="K42" i="7"/>
  <c r="S31" i="5" s="1"/>
  <c r="K60" i="1"/>
  <c r="Q34" i="5" s="1"/>
  <c r="E40" i="7"/>
  <c r="E40" i="8"/>
  <c r="E84" i="1"/>
  <c r="E38" i="8"/>
  <c r="E34" i="8"/>
  <c r="E36" i="8"/>
  <c r="E34" i="7"/>
  <c r="I38" i="7"/>
  <c r="E42" i="8"/>
  <c r="I36" i="7"/>
  <c r="I38" i="8"/>
  <c r="I34" i="8"/>
  <c r="E42" i="7"/>
  <c r="I36" i="8"/>
  <c r="I34" i="7"/>
  <c r="E38" i="7"/>
  <c r="E36" i="7"/>
  <c r="F26" i="7"/>
  <c r="T26" i="5" s="1"/>
  <c r="F26" i="8"/>
  <c r="V26" i="5" s="1"/>
  <c r="E90" i="1"/>
  <c r="E90" i="8"/>
  <c r="E90" i="7"/>
  <c r="K26" i="7"/>
  <c r="K26" i="8"/>
  <c r="K26" i="1"/>
  <c r="F90" i="1"/>
  <c r="P93" i="1" s="1"/>
  <c r="J93" i="1" s="1"/>
  <c r="F90" i="8"/>
  <c r="F90" i="7"/>
  <c r="E26" i="8"/>
  <c r="E26" i="7"/>
  <c r="R25" i="5"/>
  <c r="R42" i="5"/>
  <c r="K42" i="1"/>
  <c r="Q31" i="5" s="1"/>
  <c r="J42" i="1"/>
  <c r="K100" i="1"/>
  <c r="Q45" i="5" s="1"/>
  <c r="K38" i="1"/>
  <c r="Q29" i="5" s="1"/>
  <c r="K97" i="1"/>
  <c r="Q44" i="5" s="1"/>
  <c r="K57" i="1"/>
  <c r="Q33" i="5" s="1"/>
  <c r="K36" i="1"/>
  <c r="Q28" i="5" s="1"/>
  <c r="K54" i="1"/>
  <c r="Q32" i="5" s="1"/>
  <c r="K34" i="1"/>
  <c r="Q27" i="5" s="1"/>
  <c r="K90" i="1"/>
  <c r="Q43" i="5" s="1"/>
  <c r="K40" i="1"/>
  <c r="Q30" i="5" s="1"/>
  <c r="E42" i="1"/>
  <c r="I34" i="1"/>
  <c r="I42" i="1"/>
  <c r="Q25" i="5"/>
  <c r="E26" i="1"/>
  <c r="E36" i="1"/>
  <c r="E34" i="1"/>
  <c r="E40" i="1"/>
  <c r="F57" i="1"/>
  <c r="R33" i="5" s="1"/>
  <c r="E38" i="1"/>
  <c r="I57" i="1"/>
  <c r="J34" i="1"/>
  <c r="J36" i="1"/>
  <c r="J38" i="1"/>
  <c r="J40" i="1"/>
  <c r="E57" i="1"/>
  <c r="Q26" i="5" l="1"/>
  <c r="U26" i="5"/>
  <c r="O53" i="5"/>
  <c r="S26" i="5"/>
  <c r="R43" i="5"/>
  <c r="O93" i="1"/>
  <c r="I93" i="1" s="1"/>
  <c r="Q93" i="1"/>
  <c r="K93" i="1" s="1"/>
  <c r="Q42" i="5" s="1"/>
  <c r="M23" i="5" s="1"/>
  <c r="N93" i="1"/>
  <c r="E93" i="1" s="1"/>
  <c r="T43" i="5"/>
  <c r="P93" i="7"/>
  <c r="J93" i="7" s="1"/>
  <c r="F2" i="7" s="1"/>
  <c r="O93" i="7"/>
  <c r="I93" i="7" s="1"/>
  <c r="F1" i="7" s="1"/>
  <c r="Q93" i="7"/>
  <c r="K93" i="7" s="1"/>
  <c r="S42" i="5" s="1"/>
  <c r="N93" i="7"/>
  <c r="E93" i="7" s="1"/>
  <c r="V43" i="5"/>
  <c r="O93" i="8"/>
  <c r="I93" i="8" s="1"/>
  <c r="F1" i="8" s="1"/>
  <c r="P93" i="8"/>
  <c r="J93" i="8" s="1"/>
  <c r="F2" i="8" s="1"/>
  <c r="Q93" i="8"/>
  <c r="K93" i="8" s="1"/>
  <c r="U42" i="5" s="1"/>
  <c r="O29" i="5" s="1"/>
  <c r="N93" i="8"/>
  <c r="E93" i="8" s="1"/>
  <c r="I38" i="1"/>
  <c r="I36" i="1"/>
  <c r="F2" i="1"/>
  <c r="M53" i="5" l="1"/>
  <c r="N53" i="5"/>
  <c r="E32" i="6" s="1"/>
  <c r="H32" i="6"/>
  <c r="I32" i="6" s="1"/>
  <c r="M28" i="5"/>
  <c r="M35" i="5"/>
  <c r="B16" i="6" s="1"/>
  <c r="M27" i="5"/>
  <c r="B8" i="6" s="1"/>
  <c r="B12" i="6"/>
  <c r="M54" i="5"/>
  <c r="B33" i="6" s="1"/>
  <c r="M41" i="5"/>
  <c r="B22" i="6" s="1"/>
  <c r="C22" i="6" s="1"/>
  <c r="M39" i="5"/>
  <c r="M40" i="5"/>
  <c r="B21" i="6" s="1"/>
  <c r="C21" i="6" s="1"/>
  <c r="M29" i="5"/>
  <c r="B10" i="6" s="1"/>
  <c r="M32" i="5"/>
  <c r="B13" i="6" s="1"/>
  <c r="M47" i="5"/>
  <c r="B26" i="6" s="1"/>
  <c r="M46" i="5"/>
  <c r="B17" i="6"/>
  <c r="M26" i="5"/>
  <c r="B7" i="6" s="1"/>
  <c r="M25" i="5"/>
  <c r="B6" i="6" s="1"/>
  <c r="B18" i="6"/>
  <c r="M34" i="5"/>
  <c r="B15" i="6" s="1"/>
  <c r="M24" i="5"/>
  <c r="M48" i="5"/>
  <c r="B27" i="6" s="1"/>
  <c r="M52" i="5"/>
  <c r="B31" i="6" s="1"/>
  <c r="M49" i="5"/>
  <c r="B28" i="6" s="1"/>
  <c r="C28" i="6" s="1"/>
  <c r="M50" i="5"/>
  <c r="B29" i="6" s="1"/>
  <c r="C29" i="6" s="1"/>
  <c r="M44" i="5"/>
  <c r="B23" i="6" s="1"/>
  <c r="M45" i="5"/>
  <c r="M38" i="5"/>
  <c r="M33" i="5"/>
  <c r="B14" i="6" s="1"/>
  <c r="N25" i="5"/>
  <c r="E6" i="6" s="1"/>
  <c r="F6" i="6" s="1"/>
  <c r="O39" i="5"/>
  <c r="H20" i="6" s="1"/>
  <c r="R20" i="6" s="1"/>
  <c r="N47" i="5"/>
  <c r="E26" i="6" s="1"/>
  <c r="F26" i="6" s="1"/>
  <c r="H17" i="6"/>
  <c r="I17" i="6" s="1"/>
  <c r="N29" i="5"/>
  <c r="F3" i="7"/>
  <c r="E17" i="6"/>
  <c r="F17" i="6" s="1"/>
  <c r="O47" i="5"/>
  <c r="H26" i="6" s="1"/>
  <c r="I26" i="6" s="1"/>
  <c r="O27" i="5"/>
  <c r="H8" i="6" s="1"/>
  <c r="I8" i="6" s="1"/>
  <c r="H30" i="6"/>
  <c r="R30" i="6" s="1"/>
  <c r="F3" i="8"/>
  <c r="E30" i="6"/>
  <c r="O30" i="6" s="1"/>
  <c r="N44" i="5"/>
  <c r="E23" i="6" s="1"/>
  <c r="N39" i="5"/>
  <c r="E20" i="6" s="1"/>
  <c r="F20" i="6" s="1"/>
  <c r="N50" i="5"/>
  <c r="E29" i="6" s="1"/>
  <c r="F29" i="6" s="1"/>
  <c r="O54" i="5"/>
  <c r="H33" i="6" s="1"/>
  <c r="I33" i="6" s="1"/>
  <c r="O25" i="5"/>
  <c r="H6" i="6" s="1"/>
  <c r="R6" i="6" s="1"/>
  <c r="N40" i="5"/>
  <c r="E21" i="6" s="1"/>
  <c r="N46" i="5"/>
  <c r="E25" i="6" s="1"/>
  <c r="F25" i="6" s="1"/>
  <c r="N27" i="5"/>
  <c r="N45" i="5"/>
  <c r="E24" i="6" s="1"/>
  <c r="F24" i="6" s="1"/>
  <c r="O23" i="5"/>
  <c r="H4" i="6" s="1"/>
  <c r="I4" i="6" s="1"/>
  <c r="H18" i="6"/>
  <c r="I18" i="6" s="1"/>
  <c r="N54" i="5"/>
  <c r="E33" i="6" s="1"/>
  <c r="F33" i="6" s="1"/>
  <c r="N41" i="5"/>
  <c r="E22" i="6" s="1"/>
  <c r="N52" i="5"/>
  <c r="E31" i="6" s="1"/>
  <c r="N38" i="5"/>
  <c r="E19" i="6" s="1"/>
  <c r="O19" i="6" s="1"/>
  <c r="O38" i="5"/>
  <c r="H19" i="6" s="1"/>
  <c r="R19" i="6" s="1"/>
  <c r="O35" i="5"/>
  <c r="H16" i="6" s="1"/>
  <c r="R16" i="6" s="1"/>
  <c r="N26" i="5"/>
  <c r="E7" i="6" s="1"/>
  <c r="F7" i="6" s="1"/>
  <c r="N32" i="5"/>
  <c r="E13" i="6" s="1"/>
  <c r="F13" i="6" s="1"/>
  <c r="N34" i="5"/>
  <c r="E15" i="6" s="1"/>
  <c r="F15" i="6" s="1"/>
  <c r="N23" i="5"/>
  <c r="E4" i="6" s="1"/>
  <c r="O4" i="6" s="1"/>
  <c r="O49" i="5"/>
  <c r="H28" i="6" s="1"/>
  <c r="I28" i="6" s="1"/>
  <c r="O32" i="5"/>
  <c r="O24" i="5"/>
  <c r="H5" i="6" s="1"/>
  <c r="I5" i="6" s="1"/>
  <c r="O26" i="5"/>
  <c r="H7" i="6" s="1"/>
  <c r="I7" i="6" s="1"/>
  <c r="N28" i="5"/>
  <c r="E9" i="6" s="1"/>
  <c r="O9" i="6" s="1"/>
  <c r="N24" i="5"/>
  <c r="E5" i="6" s="1"/>
  <c r="F5" i="6" s="1"/>
  <c r="E18" i="6"/>
  <c r="F18" i="6" s="1"/>
  <c r="O41" i="5"/>
  <c r="H22" i="6" s="1"/>
  <c r="O44" i="5"/>
  <c r="H23" i="6" s="1"/>
  <c r="I23" i="6" s="1"/>
  <c r="O28" i="5"/>
  <c r="H9" i="6" s="1"/>
  <c r="R9" i="6" s="1"/>
  <c r="O40" i="5"/>
  <c r="H21" i="6" s="1"/>
  <c r="N49" i="5"/>
  <c r="E28" i="6" s="1"/>
  <c r="F28" i="6" s="1"/>
  <c r="N35" i="5"/>
  <c r="E16" i="6" s="1"/>
  <c r="F16" i="6" s="1"/>
  <c r="N33" i="5"/>
  <c r="E14" i="6" s="1"/>
  <c r="F14" i="6" s="1"/>
  <c r="O50" i="5"/>
  <c r="H29" i="6" s="1"/>
  <c r="I29" i="6" s="1"/>
  <c r="O33" i="5"/>
  <c r="H14" i="6" s="1"/>
  <c r="R14" i="6" s="1"/>
  <c r="O34" i="5"/>
  <c r="H15" i="6" s="1"/>
  <c r="I15" i="6" s="1"/>
  <c r="O48" i="5"/>
  <c r="H27" i="6" s="1"/>
  <c r="I27" i="6" s="1"/>
  <c r="N48" i="5"/>
  <c r="E27" i="6" s="1"/>
  <c r="O27" i="6" s="1"/>
  <c r="O46" i="5"/>
  <c r="H25" i="6" s="1"/>
  <c r="I25" i="6" s="1"/>
  <c r="O45" i="5"/>
  <c r="H24" i="6" s="1"/>
  <c r="I24" i="6" s="1"/>
  <c r="O52" i="5"/>
  <c r="H31" i="6" s="1"/>
  <c r="F1" i="1"/>
  <c r="F3" i="1" s="1"/>
  <c r="B4" i="6"/>
  <c r="H10" i="6"/>
  <c r="I10" i="6" s="1"/>
  <c r="E12" i="6"/>
  <c r="O12" i="6" s="1"/>
  <c r="F32" i="6" l="1"/>
  <c r="O32" i="6"/>
  <c r="R32" i="6"/>
  <c r="P53" i="5"/>
  <c r="B53" i="5" s="1"/>
  <c r="B32" i="6"/>
  <c r="L22" i="6"/>
  <c r="P31" i="5"/>
  <c r="B31" i="5" s="1"/>
  <c r="P29" i="5"/>
  <c r="B29" i="5" s="1"/>
  <c r="L21" i="6"/>
  <c r="O26" i="6"/>
  <c r="R28" i="6"/>
  <c r="P32" i="5"/>
  <c r="B32" i="5" s="1"/>
  <c r="E10" i="6"/>
  <c r="O10" i="6" s="1"/>
  <c r="R27" i="6"/>
  <c r="O33" i="6"/>
  <c r="H13" i="6"/>
  <c r="I13" i="6" s="1"/>
  <c r="P27" i="5"/>
  <c r="B27" i="5" s="1"/>
  <c r="P28" i="5"/>
  <c r="B28" i="5" s="1"/>
  <c r="P33" i="5"/>
  <c r="B33" i="5" s="1"/>
  <c r="E8" i="6"/>
  <c r="F8" i="6" s="1"/>
  <c r="I21" i="6"/>
  <c r="R21" i="6"/>
  <c r="R22" i="6"/>
  <c r="I22" i="6"/>
  <c r="I31" i="6"/>
  <c r="R31" i="6"/>
  <c r="R29" i="6"/>
  <c r="H12" i="6"/>
  <c r="R12" i="6" s="1"/>
  <c r="P52" i="5"/>
  <c r="B52" i="5" s="1"/>
  <c r="E52" i="5" s="1"/>
  <c r="R5" i="6"/>
  <c r="F31" i="6"/>
  <c r="O31" i="6"/>
  <c r="F22" i="6"/>
  <c r="O22" i="6"/>
  <c r="F21" i="6"/>
  <c r="O21" i="6"/>
  <c r="O23" i="6"/>
  <c r="F23" i="6"/>
  <c r="L31" i="6"/>
  <c r="P40" i="5"/>
  <c r="B40" i="5" s="1"/>
  <c r="B5" i="6"/>
  <c r="L5" i="6" s="1"/>
  <c r="P24" i="5"/>
  <c r="B24" i="5" s="1"/>
  <c r="I16" i="6"/>
  <c r="R33" i="6"/>
  <c r="I19" i="6"/>
  <c r="I20" i="6"/>
  <c r="R10" i="6"/>
  <c r="I9" i="6"/>
  <c r="P54" i="5"/>
  <c r="B54" i="5" s="1"/>
  <c r="R8" i="6"/>
  <c r="R23" i="6"/>
  <c r="R4" i="6"/>
  <c r="I6" i="6"/>
  <c r="R24" i="6"/>
  <c r="R18" i="6"/>
  <c r="R25" i="6"/>
  <c r="P51" i="5"/>
  <c r="B51" i="5" s="1"/>
  <c r="R26" i="6"/>
  <c r="R17" i="6"/>
  <c r="O25" i="6"/>
  <c r="R15" i="6"/>
  <c r="O17" i="6"/>
  <c r="O5" i="6"/>
  <c r="P46" i="5"/>
  <c r="B46" i="5" s="1"/>
  <c r="R7" i="6"/>
  <c r="I14" i="6"/>
  <c r="O20" i="6"/>
  <c r="P39" i="5"/>
  <c r="B39" i="5" s="1"/>
  <c r="F9" i="6"/>
  <c r="F19" i="6"/>
  <c r="P38" i="5"/>
  <c r="B38" i="5" s="1"/>
  <c r="O28" i="6"/>
  <c r="F4" i="6"/>
  <c r="F12" i="6"/>
  <c r="B20" i="6"/>
  <c r="L20" i="6" s="1"/>
  <c r="P48" i="5"/>
  <c r="B48" i="5" s="1"/>
  <c r="P41" i="5"/>
  <c r="B41" i="5" s="1"/>
  <c r="O13" i="6"/>
  <c r="P45" i="5"/>
  <c r="B45" i="5" s="1"/>
  <c r="B9" i="6"/>
  <c r="C9" i="6" s="1"/>
  <c r="O15" i="6"/>
  <c r="O18" i="6"/>
  <c r="P25" i="5"/>
  <c r="B25" i="5" s="1"/>
  <c r="O29" i="6"/>
  <c r="B30" i="6"/>
  <c r="P23" i="5"/>
  <c r="B23" i="5" s="1"/>
  <c r="B19" i="6"/>
  <c r="L19" i="6" s="1"/>
  <c r="U19" i="6" s="1"/>
  <c r="V19" i="6" s="1"/>
  <c r="P50" i="5"/>
  <c r="B50" i="5" s="1"/>
  <c r="P47" i="5"/>
  <c r="B47" i="5" s="1"/>
  <c r="B37" i="5"/>
  <c r="P34" i="5"/>
  <c r="O6" i="6"/>
  <c r="O14" i="6"/>
  <c r="O16" i="6"/>
  <c r="P44" i="5"/>
  <c r="B44" i="5" s="1"/>
  <c r="B25" i="6"/>
  <c r="P26" i="5"/>
  <c r="B26" i="5" s="1"/>
  <c r="P35" i="5"/>
  <c r="B35" i="5" s="1"/>
  <c r="O7" i="6"/>
  <c r="O24" i="6"/>
  <c r="P49" i="5"/>
  <c r="B49" i="5" s="1"/>
  <c r="B36" i="5"/>
  <c r="B24" i="6"/>
  <c r="L29" i="6"/>
  <c r="C12" i="6"/>
  <c r="L12" i="6"/>
  <c r="C13" i="6"/>
  <c r="L13" i="6"/>
  <c r="C10" i="6"/>
  <c r="L10" i="6"/>
  <c r="C18" i="6"/>
  <c r="L18" i="6"/>
  <c r="L27" i="6"/>
  <c r="C17" i="6"/>
  <c r="L17" i="6"/>
  <c r="L28" i="6"/>
  <c r="C6" i="6"/>
  <c r="L6" i="6"/>
  <c r="L23" i="6"/>
  <c r="C8" i="6"/>
  <c r="L8" i="6"/>
  <c r="C15" i="6"/>
  <c r="L15" i="6"/>
  <c r="C14" i="6"/>
  <c r="L14" i="6"/>
  <c r="L26" i="6"/>
  <c r="C7" i="6"/>
  <c r="L7" i="6"/>
  <c r="C4" i="6"/>
  <c r="L4" i="6"/>
  <c r="C16" i="6"/>
  <c r="L16" i="6"/>
  <c r="C53" i="5" l="1"/>
  <c r="D53" i="5"/>
  <c r="F53" i="5"/>
  <c r="E53" i="5"/>
  <c r="B34" i="5"/>
  <c r="C34" i="5" s="1"/>
  <c r="C23" i="10"/>
  <c r="C20" i="10"/>
  <c r="C24" i="10"/>
  <c r="C21" i="10"/>
  <c r="F10" i="6"/>
  <c r="U21" i="6"/>
  <c r="V21" i="6" s="1"/>
  <c r="R13" i="6"/>
  <c r="U13" i="6" s="1"/>
  <c r="V13" i="6" s="1"/>
  <c r="U22" i="6"/>
  <c r="V22" i="6" s="1"/>
  <c r="O8" i="6"/>
  <c r="U8" i="6" s="1"/>
  <c r="V8" i="6" s="1"/>
  <c r="U27" i="6"/>
  <c r="V27" i="6" s="1"/>
  <c r="U12" i="6"/>
  <c r="V12" i="6" s="1"/>
  <c r="I12" i="6"/>
  <c r="D52" i="5"/>
  <c r="F52" i="5"/>
  <c r="U31" i="6"/>
  <c r="V31" i="6" s="1"/>
  <c r="C52" i="5"/>
  <c r="C31" i="6" s="1"/>
  <c r="J52" i="5"/>
  <c r="L32" i="6"/>
  <c r="U32" i="6" s="1"/>
  <c r="V32" i="6" s="1"/>
  <c r="E41" i="5"/>
  <c r="C41" i="5"/>
  <c r="D41" i="5"/>
  <c r="J41" i="5"/>
  <c r="F41" i="5"/>
  <c r="C40" i="5"/>
  <c r="D40" i="5"/>
  <c r="E40" i="5"/>
  <c r="F40" i="5"/>
  <c r="J40" i="5"/>
  <c r="D50" i="5"/>
  <c r="E50" i="5"/>
  <c r="F50" i="5"/>
  <c r="C50" i="5"/>
  <c r="C29" i="5"/>
  <c r="F29" i="5"/>
  <c r="E29" i="5"/>
  <c r="D29" i="5"/>
  <c r="J46" i="5"/>
  <c r="D46" i="5"/>
  <c r="E46" i="5"/>
  <c r="F46" i="5"/>
  <c r="C46" i="5"/>
  <c r="C25" i="6" s="1"/>
  <c r="E27" i="5"/>
  <c r="D27" i="5"/>
  <c r="C27" i="5"/>
  <c r="F27" i="5"/>
  <c r="F32" i="5"/>
  <c r="E32" i="5"/>
  <c r="D32" i="5"/>
  <c r="C32" i="5"/>
  <c r="F24" i="5"/>
  <c r="E24" i="5"/>
  <c r="D24" i="5"/>
  <c r="C24" i="5"/>
  <c r="J47" i="5"/>
  <c r="D47" i="5"/>
  <c r="E47" i="5"/>
  <c r="F47" i="5"/>
  <c r="C47" i="5"/>
  <c r="C26" i="6" s="1"/>
  <c r="C25" i="5"/>
  <c r="F25" i="5"/>
  <c r="E25" i="5"/>
  <c r="D25" i="5"/>
  <c r="E31" i="5"/>
  <c r="D31" i="5"/>
  <c r="C31" i="5"/>
  <c r="F31" i="5"/>
  <c r="D54" i="5"/>
  <c r="E54" i="5"/>
  <c r="F54" i="5"/>
  <c r="C54" i="5"/>
  <c r="F36" i="5"/>
  <c r="E36" i="5"/>
  <c r="D36" i="5"/>
  <c r="C36" i="5"/>
  <c r="G36" i="5" s="1"/>
  <c r="E35" i="5"/>
  <c r="D35" i="5"/>
  <c r="C35" i="5"/>
  <c r="F35" i="5"/>
  <c r="C37" i="5"/>
  <c r="F37" i="5"/>
  <c r="E37" i="5"/>
  <c r="D37" i="5"/>
  <c r="D48" i="5"/>
  <c r="E48" i="5"/>
  <c r="F48" i="5"/>
  <c r="C48" i="5"/>
  <c r="D51" i="5"/>
  <c r="E51" i="5"/>
  <c r="F51" i="5"/>
  <c r="C51" i="5"/>
  <c r="D49" i="5"/>
  <c r="E49" i="5"/>
  <c r="F49" i="5"/>
  <c r="C49" i="5"/>
  <c r="D26" i="5"/>
  <c r="C26" i="5"/>
  <c r="F26" i="5"/>
  <c r="E26" i="5"/>
  <c r="D38" i="5"/>
  <c r="C38" i="5"/>
  <c r="G38" i="5" s="1"/>
  <c r="F38" i="5"/>
  <c r="E38" i="5"/>
  <c r="J44" i="5"/>
  <c r="E44" i="5"/>
  <c r="D44" i="5"/>
  <c r="F44" i="5"/>
  <c r="C44" i="5"/>
  <c r="C23" i="6" s="1"/>
  <c r="E39" i="5"/>
  <c r="D39" i="5"/>
  <c r="C39" i="5"/>
  <c r="F39" i="5"/>
  <c r="C33" i="5"/>
  <c r="F33" i="5"/>
  <c r="E33" i="5"/>
  <c r="D33" i="5"/>
  <c r="J45" i="5"/>
  <c r="D45" i="5"/>
  <c r="E45" i="5"/>
  <c r="F45" i="5"/>
  <c r="C45" i="5"/>
  <c r="C24" i="6" s="1"/>
  <c r="J53" i="5"/>
  <c r="F28" i="5"/>
  <c r="E28" i="5"/>
  <c r="D28" i="5"/>
  <c r="C28" i="5"/>
  <c r="J27" i="5"/>
  <c r="J33" i="5"/>
  <c r="J28" i="5"/>
  <c r="U5" i="6"/>
  <c r="V5" i="6" s="1"/>
  <c r="C5" i="6"/>
  <c r="E23" i="5"/>
  <c r="D23" i="5"/>
  <c r="C23" i="5"/>
  <c r="F23" i="5"/>
  <c r="J54" i="5"/>
  <c r="U10" i="6"/>
  <c r="V10" i="6" s="1"/>
  <c r="U23" i="6"/>
  <c r="V23" i="6" s="1"/>
  <c r="U4" i="6"/>
  <c r="V3" i="6" s="1"/>
  <c r="J51" i="5"/>
  <c r="U26" i="6"/>
  <c r="V26" i="6" s="1"/>
  <c r="U17" i="6"/>
  <c r="V17" i="6" s="1"/>
  <c r="U20" i="6"/>
  <c r="V20" i="6" s="1"/>
  <c r="J38" i="5"/>
  <c r="J39" i="5"/>
  <c r="U28" i="6"/>
  <c r="V28" i="6" s="1"/>
  <c r="C20" i="6"/>
  <c r="J32" i="5"/>
  <c r="J48" i="5"/>
  <c r="J29" i="5"/>
  <c r="J25" i="5"/>
  <c r="J31" i="5"/>
  <c r="L9" i="6"/>
  <c r="U9" i="6" s="1"/>
  <c r="V9" i="6" s="1"/>
  <c r="U14" i="6"/>
  <c r="V14" i="6" s="1"/>
  <c r="U15" i="6"/>
  <c r="V15" i="6" s="1"/>
  <c r="U18" i="6"/>
  <c r="V18" i="6" s="1"/>
  <c r="J24" i="5"/>
  <c r="U29" i="6"/>
  <c r="V29" i="6" s="1"/>
  <c r="J37" i="5"/>
  <c r="U16" i="6"/>
  <c r="V16" i="6" s="1"/>
  <c r="L30" i="6"/>
  <c r="U30" i="6" s="1"/>
  <c r="V30" i="6" s="1"/>
  <c r="J50" i="5"/>
  <c r="J23" i="5"/>
  <c r="J26" i="5"/>
  <c r="L25" i="6"/>
  <c r="U25" i="6" s="1"/>
  <c r="V25" i="6" s="1"/>
  <c r="C19" i="6"/>
  <c r="J49" i="5"/>
  <c r="U6" i="6"/>
  <c r="V6" i="6" s="1"/>
  <c r="U7" i="6"/>
  <c r="V7" i="6" s="1"/>
  <c r="J35" i="5"/>
  <c r="J36" i="5"/>
  <c r="L24" i="6"/>
  <c r="U24" i="6" s="1"/>
  <c r="V24" i="6" s="1"/>
  <c r="L33" i="6"/>
  <c r="U33" i="6" s="1"/>
  <c r="V33" i="6" s="1"/>
  <c r="G53" i="5" l="1"/>
  <c r="C32" i="6"/>
  <c r="D34" i="5"/>
  <c r="J34" i="5"/>
  <c r="E34" i="5"/>
  <c r="F34" i="5"/>
  <c r="G37" i="5"/>
  <c r="L24" i="10"/>
  <c r="K24" i="10"/>
  <c r="J24" i="10"/>
  <c r="E24" i="10"/>
  <c r="E21" i="10"/>
  <c r="K21" i="10"/>
  <c r="J21" i="10"/>
  <c r="L21" i="10"/>
  <c r="G52" i="5"/>
  <c r="C27" i="6"/>
  <c r="F27" i="6"/>
  <c r="G54" i="5"/>
  <c r="C33" i="6"/>
  <c r="F30" i="6"/>
  <c r="I30" i="6"/>
  <c r="C30" i="6"/>
  <c r="G40" i="5"/>
  <c r="G41" i="5"/>
  <c r="X28" i="5"/>
  <c r="X24" i="5"/>
  <c r="X25" i="5"/>
  <c r="X29" i="5"/>
  <c r="X23" i="5"/>
  <c r="X26" i="5"/>
  <c r="X27" i="5"/>
  <c r="G47" i="5"/>
  <c r="G45" i="5"/>
  <c r="G46" i="5"/>
  <c r="G50" i="5"/>
  <c r="G49" i="5"/>
  <c r="G51" i="5"/>
  <c r="G48" i="5"/>
  <c r="G35" i="5"/>
  <c r="G44" i="5"/>
  <c r="G39" i="5"/>
  <c r="G33" i="5"/>
  <c r="G32" i="5"/>
  <c r="G26" i="5"/>
  <c r="G29" i="5"/>
  <c r="G28" i="5"/>
  <c r="G31" i="5"/>
  <c r="G27" i="5"/>
  <c r="G24" i="5"/>
  <c r="G25" i="5"/>
  <c r="G23" i="5"/>
  <c r="V43" i="6"/>
  <c r="V35" i="6"/>
  <c r="V4" i="6"/>
  <c r="V40" i="6"/>
  <c r="V34" i="6"/>
  <c r="V46" i="6"/>
  <c r="V41" i="6"/>
  <c r="V38" i="6"/>
  <c r="V37" i="6"/>
  <c r="V36" i="6"/>
  <c r="V39" i="6"/>
  <c r="V42" i="6"/>
  <c r="V44" i="6"/>
  <c r="V47" i="6"/>
  <c r="V45" i="6"/>
  <c r="G34" i="5"/>
  <c r="F2" i="10" l="1"/>
  <c r="G56" i="5"/>
  <c r="F1" i="10"/>
  <c r="W6" i="6"/>
  <c r="W10" i="6"/>
  <c r="W7" i="6"/>
  <c r="W8" i="6"/>
  <c r="W5" i="6"/>
  <c r="W9" i="6"/>
  <c r="W4" i="6"/>
  <c r="F3" i="10" l="1"/>
  <c r="J56" i="5"/>
  <c r="J42" i="5"/>
  <c r="J43" i="5"/>
  <c r="E8" i="5"/>
  <c r="H11" i="6" l="1"/>
  <c r="R11" i="6" s="1"/>
  <c r="I11" i="6" l="1"/>
  <c r="E11" i="6" l="1"/>
  <c r="O11" i="6" s="1"/>
  <c r="F11" i="6" l="1"/>
  <c r="M30" i="5"/>
  <c r="P30" i="5" s="1"/>
  <c r="B30" i="5" s="1"/>
  <c r="J30" i="5" l="1"/>
  <c r="D30" i="5"/>
  <c r="F30" i="5"/>
  <c r="C30" i="5"/>
  <c r="G30" i="5" s="1"/>
  <c r="G55" i="5" s="1"/>
  <c r="E30" i="5"/>
  <c r="B11" i="6"/>
  <c r="L11" i="6" l="1"/>
  <c r="U11" i="6" s="1"/>
  <c r="V11" i="6" s="1"/>
  <c r="C11" i="6"/>
  <c r="J21" i="5"/>
  <c r="G57" i="5"/>
  <c r="J55" i="5"/>
  <c r="D56" i="5"/>
  <c r="M8" i="5" s="1"/>
  <c r="J22" i="5"/>
  <c r="X53" i="5"/>
  <c r="X50" i="5"/>
  <c r="X48" i="5"/>
  <c r="X49" i="5"/>
  <c r="X38" i="5"/>
  <c r="X47" i="5"/>
  <c r="X39" i="5"/>
  <c r="X33" i="5"/>
  <c r="X52" i="5"/>
  <c r="X45" i="5"/>
  <c r="X40" i="5"/>
  <c r="X36" i="5"/>
  <c r="X54" i="5"/>
  <c r="X51" i="5"/>
  <c r="X44" i="5"/>
  <c r="X41" i="5"/>
  <c r="X46" i="5"/>
  <c r="X37" i="5"/>
  <c r="X35" i="5"/>
  <c r="X34" i="5"/>
  <c r="X31" i="5"/>
  <c r="X32" i="5"/>
  <c r="X30" i="5"/>
  <c r="N8" i="5" l="1"/>
  <c r="E5" i="5"/>
  <c r="G58" i="5"/>
  <c r="J58" i="5" s="1"/>
  <c r="J57" i="5"/>
  <c r="W12" i="6"/>
  <c r="W27" i="6"/>
  <c r="W25" i="6"/>
  <c r="W22" i="6"/>
  <c r="W13" i="6"/>
  <c r="W33" i="6"/>
  <c r="W17" i="6"/>
  <c r="W29" i="6"/>
  <c r="W11" i="6"/>
  <c r="W32" i="6"/>
  <c r="W20" i="6"/>
  <c r="W14" i="6"/>
  <c r="W28" i="6"/>
  <c r="W15" i="6"/>
  <c r="W19" i="6"/>
  <c r="W23" i="6"/>
  <c r="W24" i="6"/>
  <c r="W30" i="6"/>
  <c r="W31" i="6"/>
  <c r="W26" i="6"/>
  <c r="W18" i="6"/>
  <c r="W21" i="6"/>
  <c r="W16" i="6"/>
  <c r="G59" i="5" l="1"/>
  <c r="D8" i="5" l="1"/>
  <c r="J59" i="5"/>
</calcChain>
</file>

<file path=xl/sharedStrings.xml><?xml version="1.0" encoding="utf-8"?>
<sst xmlns="http://schemas.openxmlformats.org/spreadsheetml/2006/main" count="1260" uniqueCount="633">
  <si>
    <t>Base</t>
  </si>
  <si>
    <t>PowerEdge T340 Server</t>
  </si>
  <si>
    <t>Chassis Configuration</t>
  </si>
  <si>
    <t>Trusted Platform Module (TPM)</t>
  </si>
  <si>
    <t>Trusted Platform Module 2.0</t>
  </si>
  <si>
    <t>Processor</t>
  </si>
  <si>
    <t>Memory Capacity</t>
  </si>
  <si>
    <t>Operating System</t>
  </si>
  <si>
    <t>Power Supply</t>
  </si>
  <si>
    <t>Module Name</t>
  </si>
  <si>
    <t>Option ID</t>
  </si>
  <si>
    <t>Option Name</t>
  </si>
  <si>
    <t>Option List Price</t>
  </si>
  <si>
    <t>SKUs</t>
  </si>
  <si>
    <t>Qty</t>
  </si>
  <si>
    <t>SKU Customer Kit</t>
  </si>
  <si>
    <t>Attributo</t>
  </si>
  <si>
    <t>Valore inserito</t>
  </si>
  <si>
    <t>N°</t>
  </si>
  <si>
    <t>Codice Convenzione</t>
  </si>
  <si>
    <t>Server Tower mono-processore</t>
  </si>
  <si>
    <t>L1N01</t>
  </si>
  <si>
    <t>TS3L1-SRV</t>
  </si>
  <si>
    <t>AA335286</t>
  </si>
  <si>
    <t>32GB</t>
  </si>
  <si>
    <t>OpzRAM16GB</t>
  </si>
  <si>
    <t>L1N02</t>
  </si>
  <si>
    <t>TS3L1-RAM16</t>
  </si>
  <si>
    <t>48GB</t>
  </si>
  <si>
    <t>64GB</t>
  </si>
  <si>
    <t>No Operating System</t>
  </si>
  <si>
    <t>634-BSFZ</t>
  </si>
  <si>
    <t>OpzWinServESS</t>
  </si>
  <si>
    <t>L1N12</t>
  </si>
  <si>
    <t>TS3L1-WINSRVESS</t>
  </si>
  <si>
    <t>Ubuntu 18.04 LTS 64 Bit</t>
  </si>
  <si>
    <t>OpzOpenSource</t>
  </si>
  <si>
    <t>L1N15</t>
  </si>
  <si>
    <t>TS3L1-LINUX</t>
  </si>
  <si>
    <t>Hard Drives</t>
  </si>
  <si>
    <t>400-AHID</t>
  </si>
  <si>
    <t>OpzHDD8TB</t>
  </si>
  <si>
    <t>L1N04</t>
  </si>
  <si>
    <t>TS3L1-HDD8TB</t>
  </si>
  <si>
    <t>400-AUWY</t>
  </si>
  <si>
    <t>OpzHDD4TB</t>
  </si>
  <si>
    <t>L1N05</t>
  </si>
  <si>
    <t>TS3L1-HDD4TB</t>
  </si>
  <si>
    <t>400-AUWX</t>
  </si>
  <si>
    <t>OpzHDD2TB</t>
  </si>
  <si>
    <t>L1N06</t>
  </si>
  <si>
    <t>TS3L1-HDD2TB</t>
  </si>
  <si>
    <t>400-AURS</t>
  </si>
  <si>
    <t>OpzHDD1TB</t>
  </si>
  <si>
    <t>L1N07</t>
  </si>
  <si>
    <t>TS3L1-HDD1TB</t>
  </si>
  <si>
    <t>OpzSSD-RI800GB</t>
  </si>
  <si>
    <t>L1N08</t>
  </si>
  <si>
    <t>TS3L1-RI960GB</t>
  </si>
  <si>
    <t>400-BDQT</t>
  </si>
  <si>
    <t>OpzSSD-RI400GB</t>
  </si>
  <si>
    <t>L1N09</t>
  </si>
  <si>
    <t>TS3L1-RI480GB</t>
  </si>
  <si>
    <t>Single, Hot-plug Power Supply 1+0, 495W</t>
  </si>
  <si>
    <t> GBF3YIX</t>
  </si>
  <si>
    <t>450-AHVN</t>
  </si>
  <si>
    <t>[TS3L1-PSU] Dual, Hot-plug, Redundant Power Supply 1+1, 495W</t>
  </si>
  <si>
    <t>GZ8351O</t>
  </si>
  <si>
    <t>450-AHVO</t>
  </si>
  <si>
    <t>450-AEBM</t>
  </si>
  <si>
    <t>OpzPowerSupply</t>
  </si>
  <si>
    <t>L1N18</t>
  </si>
  <si>
    <t>TS3L1-PSU</t>
  </si>
  <si>
    <t>Additional Network Cards</t>
  </si>
  <si>
    <t>GI7RBKF</t>
  </si>
  <si>
    <t>540-BBCX</t>
  </si>
  <si>
    <t>540-BBGY</t>
  </si>
  <si>
    <t>OpzGigabit</t>
  </si>
  <si>
    <t>L1N03</t>
  </si>
  <si>
    <t>TS3L1-LAN1</t>
  </si>
  <si>
    <t>540-BBGX</t>
  </si>
  <si>
    <t>OpzGigabit 4p</t>
  </si>
  <si>
    <t>L1N19</t>
  </si>
  <si>
    <t>TS3L1-LAN1QP</t>
  </si>
  <si>
    <t>Intel Ethernet I350 Dual Port 1GbE BASE-T Adapter, PCIe Full Height</t>
  </si>
  <si>
    <t>540-BBGZ</t>
  </si>
  <si>
    <t>OpzGigabit I350 2p</t>
  </si>
  <si>
    <t>L1N20</t>
  </si>
  <si>
    <t>TS3L1-I3502P</t>
  </si>
  <si>
    <t>Intel Ethernet I350 Quad Port 1GbE BASE-T Adapter, PCIe Full Height</t>
  </si>
  <si>
    <t>540-BBDS</t>
  </si>
  <si>
    <t>OpzGigabit I350 4p</t>
  </si>
  <si>
    <t>L1N21</t>
  </si>
  <si>
    <t>TS3L1-I3504P</t>
  </si>
  <si>
    <t>Intel X550 Dual Port 10GbE BASE-T Adapter, PCIe Full Height</t>
  </si>
  <si>
    <t>540-BBRK</t>
  </si>
  <si>
    <t>OpzGigabit10Gbps X550 2p T</t>
  </si>
  <si>
    <t>L1N22</t>
  </si>
  <si>
    <t>TS3L1-X550</t>
  </si>
  <si>
    <t>Intel X710 Dual Port 10GbE SFP+ Adapter, PCIe Full Height</t>
  </si>
  <si>
    <t>OpzGigabit10Gbps X710 2p SFP+</t>
  </si>
  <si>
    <t>L1N23</t>
  </si>
  <si>
    <t>TS3L1-X710</t>
  </si>
  <si>
    <t>406-BBGR</t>
  </si>
  <si>
    <t>OpzFibreChannel Emulex LPE12002</t>
  </si>
  <si>
    <t>L1N24</t>
  </si>
  <si>
    <t>TS3L1-E12002</t>
  </si>
  <si>
    <t>SAS 12Gbps HBA External Controller</t>
  </si>
  <si>
    <t>405-AADZ</t>
  </si>
  <si>
    <t xml:space="preserve">OpzControllerSAS </t>
  </si>
  <si>
    <t>L1N25</t>
  </si>
  <si>
    <t>TS3L1-CtrlSAS</t>
  </si>
  <si>
    <t>No Bezel</t>
  </si>
  <si>
    <t>Bezel</t>
  </si>
  <si>
    <t> GKGZ6OF</t>
  </si>
  <si>
    <t>350-BBBW</t>
  </si>
  <si>
    <t>G87WRUY</t>
  </si>
  <si>
    <t>Tower Security Bezel</t>
  </si>
  <si>
    <t>325-BCOO</t>
  </si>
  <si>
    <t>OpzBezel</t>
  </si>
  <si>
    <t>L1N26</t>
  </si>
  <si>
    <t>TS3L1-BEZEL</t>
  </si>
  <si>
    <t>TS3L1_DVD</t>
  </si>
  <si>
    <t>No Internal Optical Drive</t>
  </si>
  <si>
    <t>Internal Optical Drive</t>
  </si>
  <si>
    <t> G5M9GE3</t>
  </si>
  <si>
    <t>429-ABDL</t>
  </si>
  <si>
    <t>[TS3L1-DVD] DVD +/-RW, SATA, Internal</t>
  </si>
  <si>
    <t>GR53HYI</t>
  </si>
  <si>
    <t>DVD +/-RW, SATA, Internal</t>
  </si>
  <si>
    <t>429-ABCJ</t>
  </si>
  <si>
    <t>OpzDVD</t>
  </si>
  <si>
    <t>L1N27</t>
  </si>
  <si>
    <t>TS3L1-DVD</t>
  </si>
  <si>
    <t>Manutenzione in garanzia (36 mesi)</t>
  </si>
  <si>
    <t>Dell Services: Extended Service</t>
  </si>
  <si>
    <t> G5IMJFP</t>
  </si>
  <si>
    <r>
      <t xml:space="preserve">RESTRICTED:ProSupport One Data Center and Next Business Day Onsite Service Volume Low, </t>
    </r>
    <r>
      <rPr>
        <sz val="10"/>
        <color rgb="FFFF0000"/>
        <rFont val="Calibri"/>
        <family val="2"/>
        <scheme val="minor"/>
      </rPr>
      <t>39 Month(s)</t>
    </r>
  </si>
  <si>
    <t>865-BBKY, 865-BBKZ</t>
  </si>
  <si>
    <t>OpzEstensione24</t>
  </si>
  <si>
    <t>L1N17</t>
  </si>
  <si>
    <t>TS3L1-5Y</t>
  </si>
  <si>
    <t>Keep Your Hard Drive</t>
  </si>
  <si>
    <t> GPZX1KQ</t>
  </si>
  <si>
    <t>711-BBBR</t>
  </si>
  <si>
    <t>OpzHDDRetention</t>
  </si>
  <si>
    <t>L1N16</t>
  </si>
  <si>
    <t>TS3L1-HDRTNTN</t>
  </si>
  <si>
    <t>Hard Disk Retention</t>
  </si>
  <si>
    <t>Embedded Systems Management</t>
  </si>
  <si>
    <t>iDRAC9,Enterprise</t>
  </si>
  <si>
    <t>Network Cards</t>
  </si>
  <si>
    <t>Convenzione</t>
  </si>
  <si>
    <t>Totale</t>
  </si>
  <si>
    <t>Quantità Server</t>
  </si>
  <si>
    <t/>
  </si>
  <si>
    <t>Warranty</t>
  </si>
  <si>
    <t>-=-=-=-=-=-=-=-=-=-=-=-=-=-=-=-=-20%-=-=-=-=-=-=-=-=-=-=-=-=-=-=-=-=-</t>
  </si>
  <si>
    <t>UPS</t>
  </si>
  <si>
    <t>OpzUps (3000VA)</t>
  </si>
  <si>
    <t>L1N10</t>
  </si>
  <si>
    <t>TS3L1-UPS</t>
  </si>
  <si>
    <t>OpzGUI per tower</t>
  </si>
  <si>
    <t>L1N11</t>
  </si>
  <si>
    <t>TS3L1-GUI</t>
  </si>
  <si>
    <t>Kit Graphical User Interface</t>
  </si>
  <si>
    <t>Configurazione RAID e/o NOTE</t>
  </si>
  <si>
    <t>Cavi RJ45</t>
  </si>
  <si>
    <t>OpzRJ45 3m</t>
  </si>
  <si>
    <t>TS3L1-RJ453M</t>
  </si>
  <si>
    <t>Qty:</t>
  </si>
  <si>
    <t>Description:</t>
  </si>
  <si>
    <t>Sku Number:</t>
  </si>
  <si>
    <t>Brand</t>
  </si>
  <si>
    <t>-</t>
  </si>
  <si>
    <t>DELL</t>
  </si>
  <si>
    <t>400-BDPC</t>
  </si>
  <si>
    <t>TPMM/ 3K</t>
  </si>
  <si>
    <t>PowerME</t>
  </si>
  <si>
    <t>580-ADHM</t>
  </si>
  <si>
    <t>Mouse ottico Dell MS116 - nero</t>
  </si>
  <si>
    <t>570-AAIS</t>
  </si>
  <si>
    <t>BASE,DIS,MON,E1920H,EMEA</t>
  </si>
  <si>
    <t>210-AURI</t>
  </si>
  <si>
    <t>Italian 220V Power Cord</t>
  </si>
  <si>
    <t>450-ABCK</t>
  </si>
  <si>
    <t>SnP order - EMEA.</t>
  </si>
  <si>
    <t>800-10243</t>
  </si>
  <si>
    <t>39M Basic with Advanced Exchange Channel</t>
  </si>
  <si>
    <t>709-17931</t>
  </si>
  <si>
    <t>No Warranty Upgrade</t>
  </si>
  <si>
    <t>710-10844</t>
  </si>
  <si>
    <t>L1N13</t>
  </si>
  <si>
    <t>L1N14</t>
  </si>
  <si>
    <t>785-10921</t>
  </si>
  <si>
    <t>742-10105</t>
  </si>
  <si>
    <t>Single, Hot-plug Power Supply (1+0), 495W,CusKit</t>
  </si>
  <si>
    <t>Broadcom 5719 QP 1Gb Network Interface Card,Full Height,CusKit</t>
  </si>
  <si>
    <t>Emulex LPE 12002 Dual Port 8Gb Fibre Channel HBA, PCIe Full Height</t>
  </si>
  <si>
    <t>L1N28</t>
  </si>
  <si>
    <t>L1N29</t>
  </si>
  <si>
    <t>L1N30</t>
  </si>
  <si>
    <t>L1N31</t>
  </si>
  <si>
    <t>L1N32</t>
  </si>
  <si>
    <t>L1N33</t>
  </si>
  <si>
    <t>L1N34</t>
  </si>
  <si>
    <t>L1N35</t>
  </si>
  <si>
    <t>L1N36</t>
  </si>
  <si>
    <t>L1N37</t>
  </si>
  <si>
    <t>L1N38</t>
  </si>
  <si>
    <t>L1N39</t>
  </si>
  <si>
    <t>L1N40</t>
  </si>
  <si>
    <t>L1N41</t>
  </si>
  <si>
    <t>L1N42</t>
  </si>
  <si>
    <t>L1N43</t>
  </si>
  <si>
    <t>L1N44</t>
  </si>
  <si>
    <t>L1N45</t>
  </si>
  <si>
    <t>L1N46</t>
  </si>
  <si>
    <t>L1N47</t>
  </si>
  <si>
    <t>L1N48</t>
  </si>
  <si>
    <t>L1N49</t>
  </si>
  <si>
    <t>L1N50</t>
  </si>
  <si>
    <t>Server1</t>
  </si>
  <si>
    <t>Server2</t>
  </si>
  <si>
    <t>Server3</t>
  </si>
  <si>
    <t>Quantità</t>
  </si>
  <si>
    <t>Codice Articolo Produttore</t>
  </si>
  <si>
    <t>Codice Articolo Convenzione</t>
  </si>
  <si>
    <t>Descrizione</t>
  </si>
  <si>
    <t>Costo unitario</t>
  </si>
  <si>
    <t>Costo complessivo</t>
  </si>
  <si>
    <t>Totale iva esclusa</t>
  </si>
  <si>
    <t>TOTALE ORDINE</t>
  </si>
  <si>
    <t>AREA RISERVATA AL FORNITORE</t>
  </si>
  <si>
    <t>VERIFICA STAGING</t>
  </si>
  <si>
    <t>VERIFICA INSTALLATORE</t>
  </si>
  <si>
    <t>Ente:</t>
  </si>
  <si>
    <t>Ordine N.</t>
  </si>
  <si>
    <t>Data</t>
  </si>
  <si>
    <t>Referente Consegna</t>
  </si>
  <si>
    <t>Referente Installazione</t>
  </si>
  <si>
    <t>Telefono</t>
  </si>
  <si>
    <t>email</t>
  </si>
  <si>
    <t>ente</t>
  </si>
  <si>
    <t>N°ordine</t>
  </si>
  <si>
    <t>ref1</t>
  </si>
  <si>
    <t>tel1</t>
  </si>
  <si>
    <t>mail1</t>
  </si>
  <si>
    <t>ref2</t>
  </si>
  <si>
    <t>tel2</t>
  </si>
  <si>
    <t>mail2</t>
  </si>
  <si>
    <t>data</t>
  </si>
  <si>
    <t>ERRORE1</t>
  </si>
  <si>
    <t>ERRORE3</t>
  </si>
  <si>
    <t>Verifica Errori</t>
  </si>
  <si>
    <t>Totale IVA incl.</t>
  </si>
  <si>
    <t>I.V.A.</t>
  </si>
  <si>
    <t>Ulteriori componenti opzionali (20%)</t>
  </si>
  <si>
    <t>Valore economico 20% consentito</t>
  </si>
  <si>
    <t>Specificare la configurazione RAID per l'installazione del Sistema Operativo, se richiesto.
e/o
inserire eventuali note.</t>
  </si>
  <si>
    <t>Waning4</t>
  </si>
  <si>
    <t>Warning2</t>
  </si>
  <si>
    <t>16GB 2Rx8 DDR4 UDIMM 2666MHz</t>
  </si>
  <si>
    <t>Broadcom 5720 DP 1Gb NIC,Full Height</t>
  </si>
  <si>
    <t>8TB 7.2K RPM SATA 6Gbps 3.5in Hot-plug</t>
  </si>
  <si>
    <t>4TB 7.2K RPM SATA 6Gbps 3.5in Hot-plug</t>
  </si>
  <si>
    <t>2TB 7.2K RPM SATA 6Gbps 3.5in Hot-plug</t>
  </si>
  <si>
    <t>1TB 7.2K RPM SATA 6Gbps 3.5in Hot-plug</t>
  </si>
  <si>
    <t>960GB SSD SATA Read Intensive 6Gbps 2.5in Drive in 3.5in Hybrid Carrier, 1 DWPD</t>
  </si>
  <si>
    <t>480GB SSD SATA Read Intensive 6Gbps 2.5in Drive in 3.5in Hybrid Carrier, 1 DWPD</t>
  </si>
  <si>
    <t>Powerme Online UPS RPMM/9 3K, Tower, SNMP card</t>
  </si>
  <si>
    <t>Monitor 19" E1920H, Mouse MS116, Tastiera KB216</t>
  </si>
  <si>
    <t>Windows Server 2019,Essentials, ROK</t>
  </si>
  <si>
    <t>Estensione della manutenzione in garanzia per ulteriori 24 mesi</t>
  </si>
  <si>
    <t>cavo “patch” di 3 mt RJ45 certificato per gigabit ethernet</t>
  </si>
  <si>
    <t>Cavo “patch” di 3 mt RJ45 certificato per gigabit ethernet</t>
  </si>
  <si>
    <t>L2N01</t>
  </si>
  <si>
    <t>Server Tower bi-processore</t>
  </si>
  <si>
    <t>TS3L2-SRV</t>
  </si>
  <si>
    <t>PowerEdge T640 Server</t>
  </si>
  <si>
    <t>L2N02</t>
  </si>
  <si>
    <t>Kit n. 1 Processore aggiuntivo</t>
  </si>
  <si>
    <t>TS3L2-CPU</t>
  </si>
  <si>
    <t>338-BSDR</t>
  </si>
  <si>
    <t>412-AAMS</t>
  </si>
  <si>
    <t>L2N03</t>
  </si>
  <si>
    <t>TS3L2-RAM16</t>
  </si>
  <si>
    <t>16GB 2Rx8 DDR4 RDIMM 3200MHz</t>
  </si>
  <si>
    <t>AA799064</t>
  </si>
  <si>
    <t>L2N04</t>
  </si>
  <si>
    <t>TS3L2-LAN1</t>
  </si>
  <si>
    <t>L2N05</t>
  </si>
  <si>
    <t>TS3L2-HDD2TB</t>
  </si>
  <si>
    <t>L2N06</t>
  </si>
  <si>
    <t>TS3L2-HDD1TB</t>
  </si>
  <si>
    <t>1.2TB 10K RPM SAS 12Gbps 2.5in Hot-plug</t>
  </si>
  <si>
    <t>400-AJPD</t>
  </si>
  <si>
    <t>L2N07</t>
  </si>
  <si>
    <t>OpzHDD300GB</t>
  </si>
  <si>
    <t>TS3L2-HDD300GB</t>
  </si>
  <si>
    <t>300GB 15K RPM SAS 12Gbps 2.5in Hot-plug</t>
  </si>
  <si>
    <t>400-AUXN</t>
  </si>
  <si>
    <t>L2N08</t>
  </si>
  <si>
    <t>960GB SSD SAS Read Intensive 12Gbps 2.5in Hot-plug</t>
  </si>
  <si>
    <t>400-BBOU</t>
  </si>
  <si>
    <t>L2N09</t>
  </si>
  <si>
    <t>480GB SSD SAS Read Intensive 12Gbps 2.5in Hot-plug</t>
  </si>
  <si>
    <t>400-BKSC</t>
  </si>
  <si>
    <t>L2N10</t>
  </si>
  <si>
    <t>TS3L2-UPS</t>
  </si>
  <si>
    <t>L2N11</t>
  </si>
  <si>
    <t>TS3L2-GUI</t>
  </si>
  <si>
    <t>L2N12</t>
  </si>
  <si>
    <t>OpzWinServSTD</t>
  </si>
  <si>
    <t>TS3L2-WINSRVSTD</t>
  </si>
  <si>
    <t>Windows Server 2019 Standard, ROK, 16CORE</t>
  </si>
  <si>
    <t>634-BSFX</t>
  </si>
  <si>
    <t>L2N13</t>
  </si>
  <si>
    <t>OpzWinServSTD2core</t>
  </si>
  <si>
    <t>TS3L2-WINSRV2C</t>
  </si>
  <si>
    <t>Windows Server 2019 Standard, Additional License, 2CORE</t>
  </si>
  <si>
    <t>634-BSGS</t>
  </si>
  <si>
    <t>L2N14</t>
  </si>
  <si>
    <t>OpzDeviceCal</t>
  </si>
  <si>
    <t>TS3L2-WINDEVCAL</t>
  </si>
  <si>
    <t>Windows Server 2019 Device CAL (STD or DC)</t>
  </si>
  <si>
    <t>623-BBCV</t>
  </si>
  <si>
    <t>L2N15</t>
  </si>
  <si>
    <t>OpzUserCal</t>
  </si>
  <si>
    <t>TS3L2-WINUSRCAL</t>
  </si>
  <si>
    <t>Windows Server 2019 User CAL (STD or DC)</t>
  </si>
  <si>
    <t>623-BBCT</t>
  </si>
  <si>
    <t>L2N16</t>
  </si>
  <si>
    <t>TS3L2-LINUX</t>
  </si>
  <si>
    <t>L2N17</t>
  </si>
  <si>
    <t>TS3L2-HDRTNTN</t>
  </si>
  <si>
    <t>L2N18</t>
  </si>
  <si>
    <t>TS3L2-5Y</t>
  </si>
  <si>
    <t>L2N19</t>
  </si>
  <si>
    <t>L2N20</t>
  </si>
  <si>
    <t>L2N21</t>
  </si>
  <si>
    <t>L2N22</t>
  </si>
  <si>
    <t>L2N23</t>
  </si>
  <si>
    <t>L2N24</t>
  </si>
  <si>
    <t>L2N25</t>
  </si>
  <si>
    <t>L2N26</t>
  </si>
  <si>
    <t>L2N27</t>
  </si>
  <si>
    <t>L2N28</t>
  </si>
  <si>
    <t>L2N29</t>
  </si>
  <si>
    <t>L2N30</t>
  </si>
  <si>
    <t>L2N31</t>
  </si>
  <si>
    <t>L2N32</t>
  </si>
  <si>
    <t>L2N33</t>
  </si>
  <si>
    <t>L2N34</t>
  </si>
  <si>
    <t>L2N35</t>
  </si>
  <si>
    <t>L2N36</t>
  </si>
  <si>
    <t>L2N37</t>
  </si>
  <si>
    <t>L2N38</t>
  </si>
  <si>
    <t>L2N39</t>
  </si>
  <si>
    <t>L2N40</t>
  </si>
  <si>
    <t>L2N41</t>
  </si>
  <si>
    <t>L2N42</t>
  </si>
  <si>
    <t>L2N43</t>
  </si>
  <si>
    <t>L2N44</t>
  </si>
  <si>
    <t>L2N45</t>
  </si>
  <si>
    <t>L2N46</t>
  </si>
  <si>
    <t>L2N47</t>
  </si>
  <si>
    <t>L2N48</t>
  </si>
  <si>
    <t>L2N49</t>
  </si>
  <si>
    <t>L2N50</t>
  </si>
  <si>
    <t>Chassis with up to 16 x 2.5" SAS/ SATA Hard Drives, Tower Configuration</t>
  </si>
  <si>
    <t>Intel Xeon Silver 4214 2.2G, 12C/24T, 9.6GT/s, 16.5M Cache, Turbo, HT (85W)</t>
  </si>
  <si>
    <t>TS3L2_CPU</t>
  </si>
  <si>
    <t>No Additional Processor</t>
  </si>
  <si>
    <t>Additional Processor</t>
  </si>
  <si>
    <t>TS3L2_OS</t>
  </si>
  <si>
    <t>TS3L2_HDD</t>
  </si>
  <si>
    <t>TS3L2_PSU</t>
  </si>
  <si>
    <t>TS3L2_PCI1</t>
  </si>
  <si>
    <t>TS3L2_PCI2</t>
  </si>
  <si>
    <t>370-AEQF</t>
  </si>
  <si>
    <t>96GB</t>
  </si>
  <si>
    <t>128GB</t>
  </si>
  <si>
    <t>160GB</t>
  </si>
  <si>
    <t>192GB</t>
  </si>
  <si>
    <t>TS3L2_RAM (1CPU)</t>
  </si>
  <si>
    <t>TS3L2_RAM (2CPU)</t>
  </si>
  <si>
    <t>224GB</t>
  </si>
  <si>
    <t>256GB</t>
  </si>
  <si>
    <t>320GB</t>
  </si>
  <si>
    <t>352GB</t>
  </si>
  <si>
    <t>384GB</t>
  </si>
  <si>
    <t>[TS3L2-WINSRVSTD] Windows Server® 2019 Standard</t>
  </si>
  <si>
    <t>[TS3L2-LINUX] Ubuntu 18.04 LTS 64 Bit</t>
  </si>
  <si>
    <t>Usati</t>
  </si>
  <si>
    <t>Disponibili</t>
  </si>
  <si>
    <t>Hard Drivers Bays disponibili n° 16</t>
  </si>
  <si>
    <t>PERC H730P+ Adapter RAID Controller, 2GB</t>
  </si>
  <si>
    <t>Raid Controller</t>
  </si>
  <si>
    <t>Dual, Hot-plug, Redundant Power Supply (1+1), 750W</t>
  </si>
  <si>
    <t>On-Board Dual-Port 10GbE LOM</t>
  </si>
  <si>
    <r>
      <t xml:space="preserve">PCI Slot 7 Processor 2 </t>
    </r>
    <r>
      <rPr>
        <sz val="10"/>
        <color theme="1"/>
        <rFont val="Calibri"/>
        <family val="2"/>
        <scheme val="minor"/>
      </rPr>
      <t>x8 PCIe Gen3 for FH/FL</t>
    </r>
  </si>
  <si>
    <r>
      <t xml:space="preserve">PCI Slot 2 Processor 1 </t>
    </r>
    <r>
      <rPr>
        <sz val="10"/>
        <color theme="1"/>
        <rFont val="Calibri"/>
        <family val="2"/>
        <scheme val="minor"/>
      </rPr>
      <t xml:space="preserve">x4 PCIe Gen3 for FH/FL </t>
    </r>
  </si>
  <si>
    <r>
      <t xml:space="preserve">PCI Slot 3 Processor 1 </t>
    </r>
    <r>
      <rPr>
        <sz val="10"/>
        <color theme="1"/>
        <rFont val="Calibri"/>
        <family val="2"/>
        <scheme val="minor"/>
      </rPr>
      <t xml:space="preserve">x16 PCIe Gen3 for FH/FL </t>
    </r>
  </si>
  <si>
    <r>
      <t xml:space="preserve">PCI Slot 5 Processor 2 </t>
    </r>
    <r>
      <rPr>
        <sz val="10"/>
        <color theme="1"/>
        <rFont val="Calibri"/>
        <family val="2"/>
        <scheme val="minor"/>
      </rPr>
      <t>x4 PCIe Gen3 for FH/FL</t>
    </r>
  </si>
  <si>
    <r>
      <t xml:space="preserve">PCI Slot 6 Processor 2 </t>
    </r>
    <r>
      <rPr>
        <sz val="10"/>
        <color theme="1"/>
        <rFont val="Calibri"/>
        <family val="2"/>
        <scheme val="minor"/>
      </rPr>
      <t>x16 PCIe Gen3 for FH/FL</t>
    </r>
  </si>
  <si>
    <r>
      <t xml:space="preserve">PCI Slot 8 Processor 2 </t>
    </r>
    <r>
      <rPr>
        <sz val="10"/>
        <color theme="1"/>
        <rFont val="Calibri"/>
        <family val="2"/>
        <scheme val="minor"/>
      </rPr>
      <t>x16 PCIe Gen3 for FH/FL</t>
    </r>
  </si>
  <si>
    <r>
      <t xml:space="preserve">PCI Slot 4 Processor 2 </t>
    </r>
    <r>
      <rPr>
        <sz val="10"/>
        <color theme="1"/>
        <rFont val="Calibri"/>
        <family val="2"/>
        <scheme val="minor"/>
      </rPr>
      <t xml:space="preserve">x8 PCIe Gen3 for FH/FL </t>
    </r>
  </si>
  <si>
    <t>[TS3L2-BEZEL] Tower Security Bezel</t>
  </si>
  <si>
    <t>TS3L2-BEZEL</t>
  </si>
  <si>
    <t>TS3L2-RJ453M</t>
  </si>
  <si>
    <t>Tower Standard Bezel for T640</t>
  </si>
  <si>
    <t>325-BCMV</t>
  </si>
  <si>
    <t>OpzBOSS240</t>
  </si>
  <si>
    <t>OpzBOSS480</t>
  </si>
  <si>
    <t>TS3L2-BOSS240</t>
  </si>
  <si>
    <t>400-ASDQ</t>
  </si>
  <si>
    <t>403-BBVQ</t>
  </si>
  <si>
    <t>BOSS controller card, full height, with 2 240G M.2 Drives</t>
  </si>
  <si>
    <t>TS3L2-BOSS480</t>
  </si>
  <si>
    <t>400-AVSS</t>
  </si>
  <si>
    <t>OpzLCLC1M</t>
  </si>
  <si>
    <t>OpzLCLC2M</t>
  </si>
  <si>
    <t>OpzLCLC3M</t>
  </si>
  <si>
    <t>OpzLCLC5M</t>
  </si>
  <si>
    <t>OpzLCLC10M</t>
  </si>
  <si>
    <t>OpzLCLC30M</t>
  </si>
  <si>
    <t>Networking Cable, OM4 LC/LC Fiber Cable, (Optics required), 1 Meter</t>
  </si>
  <si>
    <t>Networking Cable, OM4 LC/LC Fiber Cable, (Optics required), 2 Meter</t>
  </si>
  <si>
    <t>Networking Cable, OM4 LC/LC Fiber Cable, (Optics required), 3 Meter</t>
  </si>
  <si>
    <t>Networking Cable, OM4 LC/LC Fiber Cable, (Optics required), 5 Meter</t>
  </si>
  <si>
    <t>Networking Cable, OM4 LC/LC Fiber Cable, (Optics required), 10 Meter</t>
  </si>
  <si>
    <t>Networking Cable, OM4 LC/LC Fiber Cable, (Optics required), 30 Meter</t>
  </si>
  <si>
    <t>470-ACLV</t>
  </si>
  <si>
    <t>470-ACLT</t>
  </si>
  <si>
    <t>470-ACMO</t>
  </si>
  <si>
    <t>470-ACLY</t>
  </si>
  <si>
    <t>470-ACMN</t>
  </si>
  <si>
    <t>470-ACLM</t>
  </si>
  <si>
    <t>TS3L2-LCLC1M</t>
  </si>
  <si>
    <t>TS3L2-LCLC2M</t>
  </si>
  <si>
    <t>TS3L2-LCLC3M</t>
  </si>
  <si>
    <t>TS3L2-LCLC5M</t>
  </si>
  <si>
    <t>TS3L2-LCLC10M</t>
  </si>
  <si>
    <t>TS3L2-LCLC30M</t>
  </si>
  <si>
    <t>540-BBIV</t>
  </si>
  <si>
    <t>Tower Bezel, PowerEdge, T340</t>
  </si>
  <si>
    <t>470-ACNV</t>
  </si>
  <si>
    <t>DVD+/-RW, SATA, Internal</t>
  </si>
  <si>
    <t>429-ABIE</t>
  </si>
  <si>
    <t>OpzHDMiniSAS2M</t>
  </si>
  <si>
    <t>TS3L1-SAS2M</t>
  </si>
  <si>
    <t>12Gb HD-Mini to HD-Mini SAS Cable, 2M, Customer Kit</t>
  </si>
  <si>
    <t>470-AATP</t>
  </si>
  <si>
    <t>OpzHDMiniSAS6M</t>
  </si>
  <si>
    <t>TS3L1-SAS6M</t>
  </si>
  <si>
    <t>12Gb HD-Mini to HD-Mini SAS Cable, 6M, Customer Kit</t>
  </si>
  <si>
    <t>470-AATR</t>
  </si>
  <si>
    <t>OpzHDMiniSAS05M</t>
  </si>
  <si>
    <t>TS3L1-SAS05M</t>
  </si>
  <si>
    <t>12Gb HD-Mini SAS cable, 0.5m, Customer Kit</t>
  </si>
  <si>
    <t>470-ABDQ</t>
  </si>
  <si>
    <t>OpzHDMiniSAS2MB</t>
  </si>
  <si>
    <t>TS3L1-SAS2MB</t>
  </si>
  <si>
    <t>12Gb HD-Mini SAS cable, 2m, Customer Kit</t>
  </si>
  <si>
    <t>470-ABDR</t>
  </si>
  <si>
    <t>OpzHDMiniSAS4M</t>
  </si>
  <si>
    <t>TS3L1-SAS4M</t>
  </si>
  <si>
    <t>12Gb Mini-SAS HD to Mini-SAS HD Cable, 4m, Customer Kit</t>
  </si>
  <si>
    <t>470-ACIS</t>
  </si>
  <si>
    <t>OpzSFPALL</t>
  </si>
  <si>
    <t>TS3L1-SFPALL</t>
  </si>
  <si>
    <t xml:space="preserve">SFP+ SR Optic for all SFP+ </t>
  </si>
  <si>
    <t>407-BCBN</t>
  </si>
  <si>
    <t>OpzDAC1M</t>
  </si>
  <si>
    <t>TS3L1-DAC1M</t>
  </si>
  <si>
    <t>470-AAVG</t>
  </si>
  <si>
    <t>OpzDAC3M</t>
  </si>
  <si>
    <t>TS3L1-DAC3M</t>
  </si>
  <si>
    <t>470-AAVH</t>
  </si>
  <si>
    <t>OpzDAC5M</t>
  </si>
  <si>
    <t>TS3L1-DAC5M</t>
  </si>
  <si>
    <t>470-AAVJ</t>
  </si>
  <si>
    <t>BOSS controller card, full height, with 2 480G M.2 Drives</t>
  </si>
  <si>
    <t>325-BCOZ</t>
  </si>
  <si>
    <t>Rack Standard Bezel for T640</t>
  </si>
  <si>
    <t>Tower to Rack,Conversion Kit T640</t>
  </si>
  <si>
    <t>770-BCJK</t>
  </si>
  <si>
    <t>3U Cable Management Arm</t>
  </si>
  <si>
    <t>770-BBKV</t>
  </si>
  <si>
    <t>Ready Rails 3U Sliding Rails</t>
  </si>
  <si>
    <t>770-BBJJ</t>
  </si>
  <si>
    <t>TS3L2-RACKKIT</t>
  </si>
  <si>
    <t>Transceiver, SFP+, 10GbE, SR, 850nm Wavelength, 300m Reach</t>
  </si>
  <si>
    <t>407-BBOU</t>
  </si>
  <si>
    <t>540-BBYH</t>
  </si>
  <si>
    <t>Cable, SFP+ to SFP+, 10GbE, Copper Twinax Direct Attach Cable, 3 Meter</t>
  </si>
  <si>
    <t>PERC H840 RAID Adapter for External MD14XX Only, 8GB NV Cache, Full Height</t>
  </si>
  <si>
    <t>405-AAMZ</t>
  </si>
  <si>
    <t>Opz10GBIC</t>
  </si>
  <si>
    <t>TS3L2-DAC3M</t>
  </si>
  <si>
    <t>Cable, SFP+ to SFP+, 10GbE, Copper Twinax Direct Attach Cable, 1 Meter</t>
  </si>
  <si>
    <t>Cable, SFP+ to SFP+, 10GbE, Copper Twinax Direct Attach Cable, 5 Meter</t>
  </si>
  <si>
    <t>OpzH840</t>
  </si>
  <si>
    <t>TS3L2-H840</t>
  </si>
  <si>
    <t>TS3L2-10GBIC</t>
  </si>
  <si>
    <t>[TS3L2-LAN1] Broadcom 5720 Dual Port 1GbE BASE-T Adapter</t>
  </si>
  <si>
    <t>TS3L2-CNA10GB</t>
  </si>
  <si>
    <t>OpzCNA10Gb</t>
  </si>
  <si>
    <t>[TS3L2-H840] PERC H840 RAID Adapter for External MD14XX Only, 8GB NV Cache</t>
  </si>
  <si>
    <t>PERC</t>
  </si>
  <si>
    <t>TS3L2_AddCPU</t>
  </si>
  <si>
    <t>Aggiungere Secondo Processore</t>
  </si>
  <si>
    <r>
      <t xml:space="preserve">PCI Slot 1 Processor 1 </t>
    </r>
    <r>
      <rPr>
        <sz val="10"/>
        <color theme="1"/>
        <rFont val="Calibri"/>
        <family val="2"/>
        <scheme val="minor"/>
      </rPr>
      <t>x16 PCIe Gen3 for FH/FL</t>
    </r>
  </si>
  <si>
    <t>TS3L2_BEZEL</t>
  </si>
  <si>
    <t>[TS3L2-UPS] UPS PowerMe RPMM/9K - 3000VA Tower</t>
  </si>
  <si>
    <t>[TS3L2-5Y] Manutenzione in garanzia (60 mesi)</t>
  </si>
  <si>
    <t>[TS3L2-GUI] Monitor DELL E1920H + Keyboard + Mouse</t>
  </si>
  <si>
    <t>TS3L2_GUI</t>
  </si>
  <si>
    <t>TS3L2_UPS</t>
  </si>
  <si>
    <t>TS3L2_KYHDD</t>
  </si>
  <si>
    <t>TS3L2_WARRANTY</t>
  </si>
  <si>
    <t>TS3L2_PCI8</t>
  </si>
  <si>
    <t>TS3L2_PCI7</t>
  </si>
  <si>
    <t>TS3L2_PCI6</t>
  </si>
  <si>
    <t>TS3L2_PCI5</t>
  </si>
  <si>
    <t>TS3L2_PCI4</t>
  </si>
  <si>
    <t>TS3L2_PCI3</t>
  </si>
  <si>
    <t>BOSS Card</t>
  </si>
  <si>
    <t>[TS3L2-BOSS240] BOSS controller card, full height, with 2 240G M.2 Drives</t>
  </si>
  <si>
    <t>[TS3L2-BOSS480] BOSS controller card, full height, with 2 480G M.2 Drives</t>
  </si>
  <si>
    <t>TS3L2_Chassis</t>
  </si>
  <si>
    <t xml:space="preserve">Transceiver, SFP+, 10GbE, SR, 850nm Wavelength, 300m </t>
  </si>
  <si>
    <t>server</t>
  </si>
  <si>
    <t>Cpu</t>
  </si>
  <si>
    <t>ram</t>
  </si>
  <si>
    <t>pci1</t>
  </si>
  <si>
    <t>pci2</t>
  </si>
  <si>
    <t>pci3</t>
  </si>
  <si>
    <t>pci4</t>
  </si>
  <si>
    <t>pci5</t>
  </si>
  <si>
    <t>pci6</t>
  </si>
  <si>
    <t>pci7</t>
  </si>
  <si>
    <t>pci8</t>
  </si>
  <si>
    <t>Sist Op</t>
  </si>
  <si>
    <t>win2core</t>
  </si>
  <si>
    <t>hd2tb</t>
  </si>
  <si>
    <t>hd1tb</t>
  </si>
  <si>
    <t>hd300gb</t>
  </si>
  <si>
    <t>ssd960GB</t>
  </si>
  <si>
    <t>ssd480GB</t>
  </si>
  <si>
    <t>retention</t>
  </si>
  <si>
    <t>warranty</t>
  </si>
  <si>
    <t>ups</t>
  </si>
  <si>
    <t>gui</t>
  </si>
  <si>
    <t>Chassis with up to 16 x 2.5" SAS/ SATA Hard Drives, Rack Configuration</t>
  </si>
  <si>
    <t>Kit composto da: Tower to Rack Conversion Kit; Rack Standard Bezel; 3U Cable Management Arm; Ready Rails 3U Sliding Rails</t>
  </si>
  <si>
    <t>Bezel già compreso nel Kit TS3L2-RACKKIT</t>
  </si>
  <si>
    <t>SFP+ Transceivers</t>
  </si>
  <si>
    <t>SFP+ Direct Attach Cables (Twinax)</t>
  </si>
  <si>
    <t>PowerEdge T640 Configurazione 1</t>
  </si>
  <si>
    <t>PowerEdge T640 Configurazione 2</t>
  </si>
  <si>
    <t>PowerEdge T640 Configurazione 3</t>
  </si>
  <si>
    <t>Codifica NATO</t>
  </si>
  <si>
    <t>TS3L2-NATO</t>
  </si>
  <si>
    <t>OpzCodiceNATO</t>
  </si>
  <si>
    <t>OpzHDDRetention60</t>
  </si>
  <si>
    <t>Hard Disk Retention 60 mesi</t>
  </si>
  <si>
    <t>TS3L2-HDRTNTN60</t>
  </si>
  <si>
    <t>Hard Disk Retention (60 mesi)</t>
  </si>
  <si>
    <t>Hard Disk Retention 36 mesi</t>
  </si>
  <si>
    <t>L2N02-OpzCPU</t>
  </si>
  <si>
    <t>L2N03-OpzRAM16GB</t>
  </si>
  <si>
    <t>L2N04-OpzGigabit</t>
  </si>
  <si>
    <t>L2N05-OpzHDD2TB</t>
  </si>
  <si>
    <t>L2N06-OpzHDD1TB</t>
  </si>
  <si>
    <t>L2N07-OpzHDD300GB</t>
  </si>
  <si>
    <t>L2N08-OpzSSD-RI800GB</t>
  </si>
  <si>
    <t>L2N09- OpzSSD-RI400GB</t>
  </si>
  <si>
    <t>L2N10-OpzUps</t>
  </si>
  <si>
    <t>L2N11-OpzGUI</t>
  </si>
  <si>
    <t>L2N12-OpzWinServSTD</t>
  </si>
  <si>
    <t>L2N13-OpzWinServSTD2core</t>
  </si>
  <si>
    <t>L2N14-OpzDeviceCal</t>
  </si>
  <si>
    <t>L2N15-OpzUserCal</t>
  </si>
  <si>
    <t>L2N16-OpzOpenSource</t>
  </si>
  <si>
    <t>L2N17-OpzHDDRetention</t>
  </si>
  <si>
    <t>L2N18-OpzEstensione24</t>
  </si>
  <si>
    <t>L2N28-OpzHDDRetention60</t>
  </si>
  <si>
    <t>L1N02-ServerT640</t>
  </si>
  <si>
    <t>TS3-OpzA20RJ45</t>
  </si>
  <si>
    <t>TS3-OpzA20RKit</t>
  </si>
  <si>
    <t>TS3-OpzA20BT640</t>
  </si>
  <si>
    <t>TS3-OpzA20T640K</t>
  </si>
  <si>
    <t>TS3-OpzA20B480G</t>
  </si>
  <si>
    <t>TS3-OpzA20B240G</t>
  </si>
  <si>
    <t>TS3-OpzA20H840</t>
  </si>
  <si>
    <t>TS3L2-CNA10M3</t>
  </si>
  <si>
    <t>TS3-OpzA20CNA3M</t>
  </si>
  <si>
    <t>TS3-OpzA20CNA</t>
  </si>
  <si>
    <t>Scheda 41112 DP 10Gb SFP+, 2 x Transceiver SFP+, 10GbE</t>
  </si>
  <si>
    <t>Scheda 41112 DP 10Gb SFP+, 2 x Cable, SFP+ to SFP+, 10GbE, Copper Twinax Direct Attach Cable, 3 Meter</t>
  </si>
  <si>
    <t>[TS3L2-CNA10] Scheda 41112 DP 10Gb SFP+, 2 x Transceiver SFP+, 10GbE</t>
  </si>
  <si>
    <t>[TS3L2-CNA10M3] Scheda 41112 DP 10Gb SFP+, 2 x Cable, SFP+ to SFP+, 10GbE, Copper Twinax Direct Attach Cable, 3 Meter</t>
  </si>
  <si>
    <t>UPS PowerMe RPMM/9K - 3000VA Tower</t>
  </si>
  <si>
    <t>TECNOLOGIE SERVER 3 LOTTO 2 - LISTA ARTICOLI IN CONVENZIONE -</t>
  </si>
  <si>
    <t>TECNOLOGIE SERVER 3 LOTTO 2 - LISTA ULTERIORI ARTICOLI IN CONVENZIONE (20%) -</t>
  </si>
  <si>
    <r>
      <t xml:space="preserve">POWEREDGE T640          </t>
    </r>
    <r>
      <rPr>
        <b/>
        <sz val="10"/>
        <color theme="4" tint="-0.249977111117893"/>
        <rFont val="Calibri"/>
        <family val="2"/>
        <scheme val="minor"/>
      </rPr>
      <t>Consulta la Guida alla Convenzione ---&gt;</t>
    </r>
  </si>
  <si>
    <t>Opzioni in Convenzione</t>
  </si>
  <si>
    <t>OpzRack</t>
  </si>
  <si>
    <t>Rack 42U con portata 1000 KG e 4 ruote + coppia PDU 12 prese Shuko bipasso ITA</t>
  </si>
  <si>
    <t>BUNDLE PMEUPS3RTSER Comprensivo di UPS e scheda SNMP + Kit Rack incluso</t>
  </si>
  <si>
    <t>OpzGUI</t>
  </si>
  <si>
    <t>Unità KVM - monitor 17", cavo combi PS2 e USB da 1,8mt, tastiera ita, touch pad</t>
  </si>
  <si>
    <t>OpzKVM</t>
  </si>
  <si>
    <t>Switch 16 porte IP con relativi cavi combi PS/2 e USB inclusi</t>
  </si>
  <si>
    <t>1-pack of Windows Server 2019/2016 Device CALs (STD or DC)</t>
  </si>
  <si>
    <t>1-pack of Windows Server 2019/2016 User CALs (STD or DC)</t>
  </si>
  <si>
    <t>Intel® Xeon® Silver 4214 Processor 2.20 GHz, 12C/24T</t>
  </si>
  <si>
    <t>TS3L2-RI400GB</t>
  </si>
  <si>
    <t>2.4TB 10K RPM SAS 12Gbps 512e 2.5in Hot-plug</t>
  </si>
  <si>
    <t>400-AUQX</t>
  </si>
  <si>
    <t>TS3L2-H740P</t>
  </si>
  <si>
    <t>Dell PERC H740P RAID Controller in sostituzione del Controller in configurazione BASE</t>
  </si>
  <si>
    <t>TS3-OpzA20H740P</t>
  </si>
  <si>
    <t>TS3L2_RAID</t>
  </si>
  <si>
    <t>PERC H740P Adapter RAID Controller, 8GB</t>
  </si>
  <si>
    <t>Controller Raid</t>
  </si>
  <si>
    <t>Campi non compilati</t>
  </si>
  <si>
    <t>Avvertimento 20%</t>
  </si>
  <si>
    <t>Avvertimento Note/Raid</t>
  </si>
  <si>
    <t>TS3L2-RI800GB</t>
  </si>
  <si>
    <t>Version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</si>
</sst>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.9"/>
      <color rgb="FFFFFFFF"/>
      <name val="Verdana"/>
      <family val="2"/>
    </font>
    <font>
      <b/>
      <sz val="9.9"/>
      <color rgb="FF333333"/>
      <name val="Verdana"/>
      <family val="2"/>
    </font>
    <font>
      <sz val="9.9"/>
      <color rgb="FF333333"/>
      <name val="Verdana"/>
      <family val="2"/>
    </font>
    <font>
      <b/>
      <sz val="9.9"/>
      <color theme="5" tint="-0.249977111117893"/>
      <name val="Verdana"/>
      <family val="2"/>
    </font>
    <font>
      <sz val="9.9"/>
      <color theme="5" tint="-0.249977111117893"/>
      <name val="Verdana"/>
      <family val="2"/>
    </font>
    <font>
      <sz val="10"/>
      <color theme="4" tint="-0.249977111117893"/>
      <name val="Calibri"/>
      <family val="2"/>
      <scheme val="minor"/>
    </font>
    <font>
      <b/>
      <sz val="10"/>
      <color rgb="FFFFFFFF"/>
      <name val="Verdana"/>
      <family val="2"/>
    </font>
    <font>
      <sz val="10"/>
      <color rgb="FF333333"/>
      <name val="Verdana"/>
      <family val="2"/>
    </font>
    <font>
      <sz val="10"/>
      <color theme="0"/>
      <name val="Calibri"/>
      <family val="2"/>
      <scheme val="minor"/>
    </font>
    <font>
      <sz val="10"/>
      <color rgb="FF000000"/>
      <name val="Verdana"/>
      <family val="2"/>
    </font>
    <font>
      <b/>
      <sz val="18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4"/>
      <color rgb="FF000000"/>
      <name val="Verdana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.9"/>
      <name val="Verdana"/>
      <family val="2"/>
    </font>
    <font>
      <sz val="13"/>
      <name val="Calibri"/>
      <family val="2"/>
      <scheme val="minor"/>
    </font>
    <font>
      <sz val="8"/>
      <color rgb="FF002060"/>
      <name val="Century Gothic"/>
      <family val="2"/>
    </font>
    <font>
      <b/>
      <sz val="24"/>
      <color theme="4"/>
      <name val="Wingdings"/>
      <charset val="2"/>
    </font>
    <font>
      <b/>
      <vertAlign val="subscript"/>
      <sz val="48"/>
      <color theme="4"/>
      <name val="Webdings"/>
      <family val="1"/>
      <charset val="2"/>
    </font>
    <font>
      <b/>
      <sz val="11"/>
      <color theme="1"/>
      <name val="Calibri"/>
      <family val="2"/>
      <scheme val="minor"/>
    </font>
    <font>
      <sz val="11"/>
      <color rgb="FF534D4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44F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ED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4" tint="-0.24994659260841701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D9D9D9"/>
      </right>
      <top/>
      <bottom style="medium">
        <color rgb="FFD9D9D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44" fontId="2" fillId="0" borderId="1" xfId="1" applyFont="1" applyBorder="1"/>
    <xf numFmtId="44" fontId="0" fillId="0" borderId="0" xfId="1" applyFont="1"/>
    <xf numFmtId="0" fontId="4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/>
    <xf numFmtId="0" fontId="2" fillId="4" borderId="2" xfId="0" applyFont="1" applyFill="1" applyBorder="1" applyAlignment="1">
      <alignment vertical="top" wrapText="1"/>
    </xf>
    <xf numFmtId="0" fontId="2" fillId="0" borderId="0" xfId="0" applyFont="1" applyBorder="1"/>
    <xf numFmtId="0" fontId="7" fillId="0" borderId="1" xfId="0" applyFont="1" applyBorder="1"/>
    <xf numFmtId="0" fontId="7" fillId="4" borderId="1" xfId="0" applyFont="1" applyFill="1" applyBorder="1"/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8" fontId="2" fillId="5" borderId="1" xfId="0" applyNumberFormat="1" applyFont="1" applyFill="1" applyBorder="1"/>
    <xf numFmtId="44" fontId="2" fillId="5" borderId="1" xfId="1" applyFont="1" applyFill="1" applyBorder="1"/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8" fontId="2" fillId="6" borderId="1" xfId="0" applyNumberFormat="1" applyFont="1" applyFill="1" applyBorder="1"/>
    <xf numFmtId="0" fontId="2" fillId="2" borderId="0" xfId="0" applyFont="1" applyFill="1" applyBorder="1"/>
    <xf numFmtId="0" fontId="2" fillId="0" borderId="1" xfId="0" applyFont="1" applyFill="1" applyBorder="1"/>
    <xf numFmtId="0" fontId="2" fillId="0" borderId="1" xfId="0" quotePrefix="1" applyFont="1" applyBorder="1"/>
    <xf numFmtId="0" fontId="11" fillId="8" borderId="5" xfId="0" applyFont="1" applyFill="1" applyBorder="1" applyAlignment="1">
      <alignment horizontal="center" vertical="center" wrapText="1"/>
    </xf>
    <xf numFmtId="44" fontId="13" fillId="9" borderId="5" xfId="1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left" vertical="center" wrapText="1"/>
    </xf>
    <xf numFmtId="44" fontId="13" fillId="10" borderId="5" xfId="1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horizontal="left" vertical="center" wrapText="1"/>
    </xf>
    <xf numFmtId="44" fontId="15" fillId="10" borderId="5" xfId="1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left" vertical="center" wrapText="1"/>
    </xf>
    <xf numFmtId="44" fontId="15" fillId="9" borderId="5" xfId="1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44" fontId="18" fillId="9" borderId="5" xfId="1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left" vertical="center" wrapText="1"/>
    </xf>
    <xf numFmtId="44" fontId="2" fillId="0" borderId="0" xfId="0" applyNumberFormat="1" applyFont="1"/>
    <xf numFmtId="0" fontId="2" fillId="0" borderId="0" xfId="0" applyNumberFormat="1" applyFont="1"/>
    <xf numFmtId="0" fontId="18" fillId="10" borderId="5" xfId="0" applyFont="1" applyFill="1" applyBorder="1" applyAlignment="1">
      <alignment horizontal="left" vertical="center" wrapText="1"/>
    </xf>
    <xf numFmtId="44" fontId="2" fillId="4" borderId="0" xfId="0" applyNumberFormat="1" applyFont="1" applyFill="1"/>
    <xf numFmtId="0" fontId="2" fillId="4" borderId="0" xfId="0" applyNumberFormat="1" applyFont="1" applyFill="1"/>
    <xf numFmtId="0" fontId="2" fillId="4" borderId="0" xfId="0" applyFont="1" applyFill="1"/>
    <xf numFmtId="0" fontId="7" fillId="0" borderId="0" xfId="0" applyFont="1"/>
    <xf numFmtId="0" fontId="22" fillId="0" borderId="0" xfId="0" applyFont="1"/>
    <xf numFmtId="0" fontId="2" fillId="2" borderId="14" xfId="0" applyFont="1" applyFill="1" applyBorder="1"/>
    <xf numFmtId="0" fontId="2" fillId="2" borderId="13" xfId="0" applyFont="1" applyFill="1" applyBorder="1"/>
    <xf numFmtId="0" fontId="2" fillId="2" borderId="0" xfId="0" applyFont="1" applyFill="1" applyProtection="1">
      <protection hidden="1"/>
    </xf>
    <xf numFmtId="0" fontId="2" fillId="2" borderId="10" xfId="0" applyFont="1" applyFill="1" applyBorder="1" applyProtection="1"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Protection="1">
      <protection hidden="1"/>
    </xf>
    <xf numFmtId="0" fontId="20" fillId="2" borderId="11" xfId="0" applyFont="1" applyFill="1" applyBorder="1" applyAlignment="1" applyProtection="1">
      <protection hidden="1"/>
    </xf>
    <xf numFmtId="44" fontId="16" fillId="2" borderId="11" xfId="1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Protection="1">
      <protection hidden="1"/>
    </xf>
    <xf numFmtId="44" fontId="16" fillId="2" borderId="0" xfId="1" applyFont="1" applyFill="1" applyBorder="1" applyProtection="1">
      <protection hidden="1"/>
    </xf>
    <xf numFmtId="0" fontId="23" fillId="2" borderId="0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Protection="1"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Protection="1">
      <protection hidden="1"/>
    </xf>
    <xf numFmtId="44" fontId="16" fillId="2" borderId="16" xfId="1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16" fillId="2" borderId="11" xfId="0" applyFont="1" applyFill="1" applyBorder="1" applyProtection="1">
      <protection hidden="1"/>
    </xf>
    <xf numFmtId="0" fontId="16" fillId="2" borderId="19" xfId="0" applyFont="1" applyFill="1" applyBorder="1" applyProtection="1">
      <protection hidden="1"/>
    </xf>
    <xf numFmtId="44" fontId="16" fillId="2" borderId="19" xfId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2" borderId="16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44" fontId="24" fillId="2" borderId="2" xfId="0" applyNumberFormat="1" applyFont="1" applyFill="1" applyBorder="1" applyAlignment="1" applyProtection="1">
      <alignment vertical="center"/>
      <protection hidden="1"/>
    </xf>
    <xf numFmtId="44" fontId="24" fillId="13" borderId="2" xfId="0" applyNumberFormat="1" applyFont="1" applyFill="1" applyBorder="1" applyAlignment="1" applyProtection="1">
      <alignment vertical="center"/>
      <protection hidden="1"/>
    </xf>
    <xf numFmtId="0" fontId="29" fillId="11" borderId="6" xfId="0" applyFont="1" applyFill="1" applyBorder="1" applyAlignment="1" applyProtection="1">
      <alignment horizontal="center" vertical="center"/>
      <protection hidden="1"/>
    </xf>
    <xf numFmtId="44" fontId="30" fillId="2" borderId="6" xfId="0" applyNumberFormat="1" applyFont="1" applyFill="1" applyBorder="1" applyProtection="1">
      <protection hidden="1"/>
    </xf>
    <xf numFmtId="0" fontId="30" fillId="0" borderId="7" xfId="0" applyFont="1" applyFill="1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4" fontId="27" fillId="0" borderId="2" xfId="1" applyFont="1" applyFill="1" applyBorder="1" applyAlignment="1" applyProtection="1">
      <alignment vertical="center"/>
      <protection hidden="1"/>
    </xf>
    <xf numFmtId="44" fontId="32" fillId="0" borderId="2" xfId="1" applyFont="1" applyFill="1" applyBorder="1" applyAlignment="1" applyProtection="1">
      <alignment vertical="center"/>
      <protection hidden="1"/>
    </xf>
    <xf numFmtId="0" fontId="30" fillId="15" borderId="7" xfId="0" applyFont="1" applyFill="1" applyBorder="1" applyAlignment="1" applyProtection="1">
      <alignment horizontal="center" vertical="center"/>
      <protection hidden="1"/>
    </xf>
    <xf numFmtId="0" fontId="30" fillId="15" borderId="2" xfId="0" applyFont="1" applyFill="1" applyBorder="1" applyAlignment="1" applyProtection="1">
      <alignment vertical="center"/>
      <protection hidden="1"/>
    </xf>
    <xf numFmtId="0" fontId="6" fillId="15" borderId="2" xfId="0" applyFont="1" applyFill="1" applyBorder="1" applyAlignment="1" applyProtection="1">
      <alignment vertical="center" wrapText="1"/>
      <protection hidden="1"/>
    </xf>
    <xf numFmtId="44" fontId="27" fillId="15" borderId="2" xfId="1" applyFont="1" applyFill="1" applyBorder="1" applyAlignment="1" applyProtection="1">
      <alignment vertical="center"/>
      <protection hidden="1"/>
    </xf>
    <xf numFmtId="44" fontId="32" fillId="15" borderId="2" xfId="1" applyFont="1" applyFill="1" applyBorder="1" applyAlignment="1" applyProtection="1">
      <alignment vertical="center"/>
      <protection hidden="1"/>
    </xf>
    <xf numFmtId="0" fontId="19" fillId="12" borderId="0" xfId="0" applyFont="1" applyFill="1" applyBorder="1" applyAlignment="1" applyProtection="1">
      <alignment horizontal="center" vertical="center" wrapText="1"/>
      <protection hidden="1"/>
    </xf>
    <xf numFmtId="44" fontId="26" fillId="17" borderId="2" xfId="0" applyNumberFormat="1" applyFont="1" applyFill="1" applyBorder="1" applyAlignment="1" applyProtection="1">
      <alignment vertical="center"/>
      <protection hidden="1"/>
    </xf>
    <xf numFmtId="0" fontId="30" fillId="18" borderId="6" xfId="0" applyFont="1" applyFill="1" applyBorder="1" applyProtection="1">
      <protection locked="0"/>
    </xf>
    <xf numFmtId="14" fontId="30" fillId="18" borderId="6" xfId="0" applyNumberFormat="1" applyFont="1" applyFill="1" applyBorder="1" applyProtection="1">
      <protection locked="0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0" fillId="2" borderId="14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7" fillId="4" borderId="0" xfId="0" applyFont="1" applyFill="1"/>
    <xf numFmtId="0" fontId="5" fillId="19" borderId="0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44" fontId="2" fillId="2" borderId="0" xfId="1" applyFont="1" applyFill="1" applyBorder="1" applyProtection="1">
      <protection hidden="1"/>
    </xf>
    <xf numFmtId="0" fontId="0" fillId="2" borderId="0" xfId="0" applyFill="1" applyProtection="1">
      <protection hidden="1"/>
    </xf>
    <xf numFmtId="44" fontId="0" fillId="2" borderId="0" xfId="1" applyFont="1" applyFill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4" fontId="2" fillId="0" borderId="1" xfId="1" applyFont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44" fontId="0" fillId="2" borderId="3" xfId="1" applyFont="1" applyFill="1" applyBorder="1" applyProtection="1">
      <protection hidden="1"/>
    </xf>
    <xf numFmtId="44" fontId="0" fillId="0" borderId="0" xfId="1" applyFont="1" applyProtection="1">
      <protection hidden="1"/>
    </xf>
    <xf numFmtId="0" fontId="6" fillId="0" borderId="6" xfId="0" applyFont="1" applyFill="1" applyBorder="1" applyProtection="1">
      <protection hidden="1"/>
    </xf>
    <xf numFmtId="0" fontId="33" fillId="2" borderId="0" xfId="0" applyFont="1" applyFill="1" applyBorder="1" applyProtection="1"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29" fillId="13" borderId="6" xfId="0" applyFont="1" applyFill="1" applyBorder="1" applyAlignment="1" applyProtection="1">
      <alignment horizontal="center" vertical="center"/>
      <protection hidden="1"/>
    </xf>
    <xf numFmtId="44" fontId="13" fillId="9" borderId="5" xfId="1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center" vertical="center" wrapText="1"/>
    </xf>
    <xf numFmtId="44" fontId="15" fillId="4" borderId="5" xfId="1" applyFont="1" applyFill="1" applyBorder="1" applyAlignment="1">
      <alignment horizontal="left" vertical="center" wrapText="1"/>
    </xf>
    <xf numFmtId="0" fontId="2" fillId="20" borderId="1" xfId="0" applyFont="1" applyFill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44" fontId="2" fillId="0" borderId="2" xfId="1" applyFont="1" applyBorder="1" applyAlignment="1">
      <alignment horizontal="right" vertical="top" wrapText="1"/>
    </xf>
    <xf numFmtId="0" fontId="2" fillId="0" borderId="2" xfId="0" quotePrefix="1" applyFont="1" applyBorder="1" applyAlignment="1">
      <alignment vertical="top" wrapText="1"/>
    </xf>
    <xf numFmtId="0" fontId="2" fillId="21" borderId="2" xfId="0" applyFont="1" applyFill="1" applyBorder="1" applyAlignment="1">
      <alignment vertical="top" wrapText="1"/>
    </xf>
    <xf numFmtId="0" fontId="2" fillId="21" borderId="2" xfId="0" applyFont="1" applyFill="1" applyBorder="1" applyAlignment="1">
      <alignment horizontal="center" vertical="center" wrapText="1"/>
    </xf>
    <xf numFmtId="44" fontId="2" fillId="21" borderId="2" xfId="1" applyFont="1" applyFill="1" applyBorder="1" applyAlignment="1">
      <alignment horizontal="right" vertical="top" wrapText="1"/>
    </xf>
    <xf numFmtId="0" fontId="2" fillId="22" borderId="1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19" borderId="0" xfId="0" applyNumberFormat="1" applyFont="1" applyFill="1"/>
    <xf numFmtId="44" fontId="15" fillId="0" borderId="5" xfId="1" applyFont="1" applyFill="1" applyBorder="1" applyAlignment="1">
      <alignment horizontal="left" vertical="center" wrapText="1"/>
    </xf>
    <xf numFmtId="0" fontId="15" fillId="19" borderId="5" xfId="0" applyFont="1" applyFill="1" applyBorder="1" applyAlignment="1">
      <alignment horizontal="left" vertical="center" wrapText="1"/>
    </xf>
    <xf numFmtId="44" fontId="15" fillId="19" borderId="5" xfId="1" applyFont="1" applyFill="1" applyBorder="1" applyAlignment="1">
      <alignment horizontal="left" vertical="center" wrapText="1"/>
    </xf>
    <xf numFmtId="44" fontId="13" fillId="9" borderId="5" xfId="1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center" vertical="center" wrapText="1"/>
    </xf>
    <xf numFmtId="44" fontId="34" fillId="12" borderId="5" xfId="1" applyFont="1" applyFill="1" applyBorder="1" applyAlignment="1">
      <alignment horizontal="left" vertical="center" wrapText="1"/>
    </xf>
    <xf numFmtId="44" fontId="15" fillId="9" borderId="5" xfId="0" applyNumberFormat="1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44" fontId="15" fillId="5" borderId="5" xfId="1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44" fontId="34" fillId="5" borderId="5" xfId="1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44" fontId="15" fillId="5" borderId="5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4" fontId="15" fillId="2" borderId="5" xfId="1" applyFont="1" applyFill="1" applyBorder="1" applyAlignment="1">
      <alignment horizontal="left" vertical="center" wrapText="1"/>
    </xf>
    <xf numFmtId="44" fontId="13" fillId="5" borderId="5" xfId="1" applyFont="1" applyFill="1" applyBorder="1" applyAlignment="1">
      <alignment horizontal="left" vertical="center" wrapText="1"/>
    </xf>
    <xf numFmtId="0" fontId="2" fillId="11" borderId="0" xfId="0" applyFont="1" applyFill="1"/>
    <xf numFmtId="0" fontId="4" fillId="0" borderId="27" xfId="0" applyFont="1" applyBorder="1" applyAlignment="1" applyProtection="1">
      <alignment vertical="center"/>
      <protection hidden="1"/>
    </xf>
    <xf numFmtId="164" fontId="8" fillId="4" borderId="26" xfId="1" applyNumberFormat="1" applyFont="1" applyFill="1" applyBorder="1" applyAlignment="1" applyProtection="1">
      <alignment horizontal="center" vertical="center"/>
      <protection locked="0" hidden="1"/>
    </xf>
    <xf numFmtId="44" fontId="2" fillId="0" borderId="28" xfId="1" applyFont="1" applyBorder="1" applyProtection="1"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3" fillId="9" borderId="5" xfId="0" applyFont="1" applyFill="1" applyBorder="1" applyAlignment="1">
      <alignment horizontal="left" vertical="center" wrapText="1"/>
    </xf>
    <xf numFmtId="49" fontId="0" fillId="0" borderId="0" xfId="0" applyNumberFormat="1" applyProtection="1">
      <protection locked="0"/>
    </xf>
    <xf numFmtId="0" fontId="35" fillId="15" borderId="2" xfId="0" applyFont="1" applyFill="1" applyBorder="1" applyAlignment="1" applyProtection="1">
      <alignment vertical="center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44" fontId="27" fillId="14" borderId="2" xfId="1" applyFont="1" applyFill="1" applyBorder="1" applyAlignment="1" applyProtection="1">
      <alignment vertical="center"/>
      <protection hidden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44" fontId="13" fillId="4" borderId="5" xfId="1" applyFont="1" applyFill="1" applyBorder="1" applyAlignment="1">
      <alignment horizontal="left" vertical="center" wrapText="1"/>
    </xf>
    <xf numFmtId="0" fontId="0" fillId="4" borderId="0" xfId="0" applyFill="1"/>
    <xf numFmtId="0" fontId="2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44" fontId="2" fillId="2" borderId="1" xfId="1" applyFont="1" applyFill="1" applyBorder="1" applyAlignment="1" applyProtection="1">
      <alignment vertical="center"/>
      <protection hidden="1"/>
    </xf>
    <xf numFmtId="9" fontId="4" fillId="5" borderId="1" xfId="2" applyFont="1" applyFill="1" applyBorder="1" applyAlignment="1" applyProtection="1">
      <alignment horizontal="left" vertical="center"/>
      <protection hidden="1"/>
    </xf>
    <xf numFmtId="44" fontId="2" fillId="5" borderId="1" xfId="1" applyFont="1" applyFill="1" applyBorder="1" applyAlignment="1" applyProtection="1">
      <alignment vertical="center"/>
      <protection hidden="1"/>
    </xf>
    <xf numFmtId="0" fontId="4" fillId="7" borderId="1" xfId="0" applyFont="1" applyFill="1" applyBorder="1" applyAlignment="1" applyProtection="1">
      <alignment vertical="center"/>
      <protection hidden="1"/>
    </xf>
    <xf numFmtId="44" fontId="4" fillId="7" borderId="1" xfId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4" borderId="26" xfId="0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hidden="1"/>
    </xf>
    <xf numFmtId="0" fontId="2" fillId="4" borderId="26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37" fillId="2" borderId="0" xfId="0" applyFont="1" applyFill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 vertical="center"/>
      <protection hidden="1"/>
    </xf>
    <xf numFmtId="44" fontId="0" fillId="2" borderId="0" xfId="1" applyFont="1" applyFill="1" applyAlignment="1" applyProtection="1">
      <alignment vertical="center"/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0" fontId="39" fillId="2" borderId="0" xfId="0" applyFont="1" applyFill="1" applyAlignment="1" applyProtection="1">
      <alignment vertical="center"/>
      <protection hidden="1"/>
    </xf>
    <xf numFmtId="44" fontId="2" fillId="2" borderId="1" xfId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44" fontId="2" fillId="2" borderId="0" xfId="1" applyFont="1" applyFill="1" applyBorder="1" applyAlignment="1" applyProtection="1">
      <alignment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49" fontId="27" fillId="18" borderId="6" xfId="0" applyNumberFormat="1" applyFont="1" applyFill="1" applyBorder="1" applyAlignment="1" applyProtection="1">
      <alignment horizontal="right"/>
      <protection locked="0"/>
    </xf>
    <xf numFmtId="0" fontId="40" fillId="4" borderId="33" xfId="0" applyFont="1" applyFill="1" applyBorder="1" applyAlignment="1">
      <alignment horizontal="center" vertical="center" wrapText="1"/>
    </xf>
    <xf numFmtId="0" fontId="0" fillId="0" borderId="0" xfId="0"/>
    <xf numFmtId="0" fontId="40" fillId="4" borderId="33" xfId="0" applyFont="1" applyFill="1" applyBorder="1" applyAlignment="1">
      <alignment horizontal="left" vertical="center" wrapText="1"/>
    </xf>
    <xf numFmtId="0" fontId="38" fillId="2" borderId="0" xfId="0" applyFont="1" applyFill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44" fontId="13" fillId="9" borderId="5" xfId="1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44" fontId="13" fillId="9" borderId="5" xfId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21" xfId="1" applyFont="1" applyBorder="1" applyAlignment="1">
      <alignment horizontal="right" vertical="center" wrapText="1"/>
    </xf>
    <xf numFmtId="44" fontId="2" fillId="0" borderId="22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15" fillId="4" borderId="23" xfId="1" applyFont="1" applyFill="1" applyBorder="1" applyAlignment="1">
      <alignment horizontal="left" vertical="center" wrapText="1"/>
    </xf>
    <xf numFmtId="44" fontId="15" fillId="4" borderId="24" xfId="1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36" fillId="4" borderId="32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44" fontId="15" fillId="4" borderId="25" xfId="1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 applyProtection="1">
      <alignment horizontal="right" vertical="center"/>
      <protection hidden="1"/>
    </xf>
    <xf numFmtId="9" fontId="27" fillId="2" borderId="8" xfId="0" applyNumberFormat="1" applyFont="1" applyFill="1" applyBorder="1" applyAlignment="1" applyProtection="1">
      <alignment horizontal="right" vertical="center"/>
      <protection hidden="1"/>
    </xf>
    <xf numFmtId="9" fontId="27" fillId="2" borderId="9" xfId="0" applyNumberFormat="1" applyFont="1" applyFill="1" applyBorder="1" applyAlignment="1" applyProtection="1">
      <alignment horizontal="right" vertical="center"/>
      <protection hidden="1"/>
    </xf>
    <xf numFmtId="0" fontId="27" fillId="2" borderId="8" xfId="0" applyFont="1" applyFill="1" applyBorder="1" applyAlignment="1" applyProtection="1">
      <alignment horizontal="right" vertical="center"/>
      <protection hidden="1"/>
    </xf>
    <xf numFmtId="0" fontId="27" fillId="2" borderId="9" xfId="0" applyFont="1" applyFill="1" applyBorder="1" applyAlignment="1" applyProtection="1">
      <alignment horizontal="right" vertical="center"/>
      <protection hidden="1"/>
    </xf>
    <xf numFmtId="0" fontId="27" fillId="2" borderId="2" xfId="0" applyFont="1" applyFill="1" applyBorder="1" applyAlignment="1" applyProtection="1">
      <alignment horizontal="right" vertical="center"/>
      <protection hidden="1"/>
    </xf>
    <xf numFmtId="0" fontId="29" fillId="13" borderId="18" xfId="0" applyFont="1" applyFill="1" applyBorder="1" applyAlignment="1" applyProtection="1">
      <alignment horizontal="left" vertical="center"/>
      <protection hidden="1"/>
    </xf>
    <xf numFmtId="0" fontId="29" fillId="13" borderId="19" xfId="0" applyFont="1" applyFill="1" applyBorder="1" applyAlignment="1" applyProtection="1">
      <alignment horizontal="left" vertical="center"/>
      <protection hidden="1"/>
    </xf>
    <xf numFmtId="0" fontId="29" fillId="13" borderId="20" xfId="0" applyFont="1" applyFill="1" applyBorder="1" applyAlignment="1" applyProtection="1">
      <alignment horizontal="left" vertical="center"/>
      <protection hidden="1"/>
    </xf>
    <xf numFmtId="0" fontId="29" fillId="11" borderId="18" xfId="0" applyFont="1" applyFill="1" applyBorder="1" applyAlignment="1" applyProtection="1">
      <alignment horizontal="left" vertical="center"/>
      <protection hidden="1"/>
    </xf>
    <xf numFmtId="0" fontId="29" fillId="11" borderId="19" xfId="0" applyFont="1" applyFill="1" applyBorder="1" applyAlignment="1" applyProtection="1">
      <alignment horizontal="left" vertical="center"/>
      <protection hidden="1"/>
    </xf>
    <xf numFmtId="0" fontId="29" fillId="11" borderId="20" xfId="0" applyFont="1" applyFill="1" applyBorder="1" applyAlignment="1" applyProtection="1">
      <alignment horizontal="left" vertical="center"/>
      <protection hidden="1"/>
    </xf>
    <xf numFmtId="0" fontId="31" fillId="18" borderId="18" xfId="3" applyFont="1" applyFill="1" applyBorder="1" applyAlignment="1" applyProtection="1">
      <alignment horizontal="left"/>
      <protection locked="0"/>
    </xf>
    <xf numFmtId="0" fontId="30" fillId="18" borderId="19" xfId="0" applyFont="1" applyFill="1" applyBorder="1" applyAlignment="1" applyProtection="1">
      <alignment horizontal="left"/>
      <protection locked="0"/>
    </xf>
    <xf numFmtId="0" fontId="30" fillId="18" borderId="20" xfId="0" applyFont="1" applyFill="1" applyBorder="1" applyAlignment="1" applyProtection="1">
      <alignment horizontal="left"/>
      <protection locked="0"/>
    </xf>
    <xf numFmtId="0" fontId="30" fillId="18" borderId="18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hidden="1"/>
    </xf>
    <xf numFmtId="0" fontId="30" fillId="18" borderId="15" xfId="0" applyFont="1" applyFill="1" applyBorder="1" applyAlignment="1" applyProtection="1">
      <alignment horizontal="left"/>
      <protection locked="0"/>
    </xf>
    <xf numFmtId="0" fontId="30" fillId="18" borderId="16" xfId="0" applyFont="1" applyFill="1" applyBorder="1" applyAlignment="1" applyProtection="1">
      <alignment horizontal="left"/>
      <protection locked="0"/>
    </xf>
    <xf numFmtId="0" fontId="30" fillId="18" borderId="17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16" borderId="2" xfId="0" applyFont="1" applyFill="1" applyBorder="1" applyAlignment="1" applyProtection="1">
      <alignment horizontal="center" vertical="center" wrapText="1"/>
      <protection hidden="1"/>
    </xf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197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2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6.png"/><Relationship Id="rId1" Type="http://schemas.openxmlformats.org/officeDocument/2006/relationships/image" Target="../media/image1.gif"/><Relationship Id="rId6" Type="http://schemas.openxmlformats.org/officeDocument/2006/relationships/image" Target="../media/image5.png"/><Relationship Id="rId11" Type="http://schemas.openxmlformats.org/officeDocument/2006/relationships/image" Target="../media/image11.png"/><Relationship Id="rId5" Type="http://schemas.openxmlformats.org/officeDocument/2006/relationships/image" Target="../media/image4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3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1.pn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3792</xdr:colOff>
      <xdr:row>3</xdr:row>
      <xdr:rowOff>175582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60117" cy="74708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152400</xdr:rowOff>
    </xdr:from>
    <xdr:to>
      <xdr:col>1</xdr:col>
      <xdr:colOff>269875</xdr:colOff>
      <xdr:row>17</xdr:row>
      <xdr:rowOff>74723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908300"/>
          <a:ext cx="565150" cy="5128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147009</xdr:rowOff>
    </xdr:from>
    <xdr:to>
      <xdr:col>1</xdr:col>
      <xdr:colOff>269875</xdr:colOff>
      <xdr:row>23</xdr:row>
      <xdr:rowOff>69331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455359"/>
          <a:ext cx="565150" cy="51287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141617</xdr:rowOff>
    </xdr:from>
    <xdr:to>
      <xdr:col>1</xdr:col>
      <xdr:colOff>231775</xdr:colOff>
      <xdr:row>26</xdr:row>
      <xdr:rowOff>25840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2417"/>
          <a:ext cx="527050" cy="474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7009</xdr:rowOff>
    </xdr:from>
    <xdr:to>
      <xdr:col>1</xdr:col>
      <xdr:colOff>260350</xdr:colOff>
      <xdr:row>32</xdr:row>
      <xdr:rowOff>4041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39" b="15517"/>
        <a:stretch/>
      </xdr:blipFill>
      <xdr:spPr>
        <a:xfrm>
          <a:off x="0" y="5893459"/>
          <a:ext cx="565150" cy="373385"/>
        </a:xfrm>
        <a:prstGeom prst="rect">
          <a:avLst/>
        </a:prstGeom>
      </xdr:spPr>
    </xdr:pic>
    <xdr:clientData/>
  </xdr:twoCellAnchor>
  <xdr:oneCellAnchor>
    <xdr:from>
      <xdr:col>7</xdr:col>
      <xdr:colOff>361950</xdr:colOff>
      <xdr:row>1</xdr:row>
      <xdr:rowOff>47625</xdr:rowOff>
    </xdr:from>
    <xdr:ext cx="1514475" cy="271043"/>
    <xdr:pic>
      <xdr:nvPicPr>
        <xdr:cNvPr id="18" name="Immagine 17" descr="Risultati immagini per logo dell emc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238125"/>
          <a:ext cx="1514475" cy="271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79375</xdr:colOff>
      <xdr:row>88</xdr:row>
      <xdr:rowOff>0</xdr:rowOff>
    </xdr:from>
    <xdr:to>
      <xdr:col>1</xdr:col>
      <xdr:colOff>244475</xdr:colOff>
      <xdr:row>90</xdr:row>
      <xdr:rowOff>47625</xdr:rowOff>
    </xdr:to>
    <xdr:pic>
      <xdr:nvPicPr>
        <xdr:cNvPr id="20" name="Immagine 19" descr="Risultati immagini per warranty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2655550"/>
          <a:ext cx="488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73025</xdr:colOff>
      <xdr:row>51</xdr:row>
      <xdr:rowOff>174625</xdr:rowOff>
    </xdr:from>
    <xdr:to>
      <xdr:col>1</xdr:col>
      <xdr:colOff>266700</xdr:colOff>
      <xdr:row>54</xdr:row>
      <xdr:rowOff>49320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8931275"/>
          <a:ext cx="517525" cy="474770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55</xdr:row>
      <xdr:rowOff>7308</xdr:rowOff>
    </xdr:from>
    <xdr:to>
      <xdr:col>1</xdr:col>
      <xdr:colOff>266700</xdr:colOff>
      <xdr:row>57</xdr:row>
      <xdr:rowOff>82029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9481508"/>
          <a:ext cx="517525" cy="481121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58</xdr:row>
      <xdr:rowOff>30491</xdr:rowOff>
    </xdr:from>
    <xdr:to>
      <xdr:col>1</xdr:col>
      <xdr:colOff>266700</xdr:colOff>
      <xdr:row>60</xdr:row>
      <xdr:rowOff>105212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0038091"/>
          <a:ext cx="517525" cy="481121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61</xdr:row>
      <xdr:rowOff>53675</xdr:rowOff>
    </xdr:from>
    <xdr:to>
      <xdr:col>1</xdr:col>
      <xdr:colOff>266700</xdr:colOff>
      <xdr:row>63</xdr:row>
      <xdr:rowOff>122046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0594675"/>
          <a:ext cx="517525" cy="474771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97</xdr:row>
      <xdr:rowOff>136525</xdr:rowOff>
    </xdr:from>
    <xdr:to>
      <xdr:col>1</xdr:col>
      <xdr:colOff>238125</xdr:colOff>
      <xdr:row>99</xdr:row>
      <xdr:rowOff>193675</xdr:rowOff>
    </xdr:to>
    <xdr:pic>
      <xdr:nvPicPr>
        <xdr:cNvPr id="28" name="Immagine 27" descr="https://www.iconexperience.com/_img/v_collection_png/48x48/shadow/workplace2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14424025"/>
          <a:ext cx="488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98425</xdr:colOff>
      <xdr:row>94</xdr:row>
      <xdr:rowOff>174625</xdr:rowOff>
    </xdr:from>
    <xdr:to>
      <xdr:col>1</xdr:col>
      <xdr:colOff>187325</xdr:colOff>
      <xdr:row>96</xdr:row>
      <xdr:rowOff>155575</xdr:rowOff>
    </xdr:to>
    <xdr:pic>
      <xdr:nvPicPr>
        <xdr:cNvPr id="29" name="Immagine 28" descr="https://www.iconexperience.com/_img/v_collection_png/48x48/shadow/battery_add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13922375"/>
          <a:ext cx="41275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90</xdr:row>
      <xdr:rowOff>107950</xdr:rowOff>
    </xdr:from>
    <xdr:to>
      <xdr:col>1</xdr:col>
      <xdr:colOff>244475</xdr:colOff>
      <xdr:row>92</xdr:row>
      <xdr:rowOff>165100</xdr:rowOff>
    </xdr:to>
    <xdr:pic>
      <xdr:nvPicPr>
        <xdr:cNvPr id="30" name="Immagine 29" descr="https://www.iconexperience.com/_img/v_collection_png/48x48/shadow/hard_drive_add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3131800"/>
          <a:ext cx="488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177800</xdr:colOff>
      <xdr:row>82</xdr:row>
      <xdr:rowOff>177800</xdr:rowOff>
    </xdr:from>
    <xdr:to>
      <xdr:col>1</xdr:col>
      <xdr:colOff>131763</xdr:colOff>
      <xdr:row>84</xdr:row>
      <xdr:rowOff>55563</xdr:rowOff>
    </xdr:to>
    <xdr:pic>
      <xdr:nvPicPr>
        <xdr:cNvPr id="63" name="Immagine 62" descr="https://www.iconexperience.com/_img/v_collection_png/256x256/shadow/plug_lan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1252200"/>
          <a:ext cx="277813" cy="28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17</xdr:row>
      <xdr:rowOff>152400</xdr:rowOff>
    </xdr:from>
    <xdr:ext cx="546100" cy="531923"/>
    <xdr:pic>
      <xdr:nvPicPr>
        <xdr:cNvPr id="34" name="Immag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62350"/>
          <a:ext cx="546100" cy="531923"/>
        </a:xfrm>
        <a:prstGeom prst="rect">
          <a:avLst/>
        </a:prstGeom>
      </xdr:spPr>
    </xdr:pic>
    <xdr:clientData/>
  </xdr:oneCellAnchor>
  <xdr:twoCellAnchor editAs="oneCell">
    <xdr:from>
      <xdr:col>6</xdr:col>
      <xdr:colOff>9525</xdr:colOff>
      <xdr:row>5</xdr:row>
      <xdr:rowOff>53454</xdr:rowOff>
    </xdr:from>
    <xdr:to>
      <xdr:col>8</xdr:col>
      <xdr:colOff>0</xdr:colOff>
      <xdr:row>23</xdr:row>
      <xdr:rowOff>162636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177404"/>
          <a:ext cx="2628900" cy="3766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64</xdr:row>
      <xdr:rowOff>0</xdr:rowOff>
    </xdr:from>
    <xdr:to>
      <xdr:col>1</xdr:col>
      <xdr:colOff>250825</xdr:colOff>
      <xdr:row>66</xdr:row>
      <xdr:rowOff>74720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106275"/>
          <a:ext cx="498475" cy="4842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23183</xdr:rowOff>
    </xdr:from>
    <xdr:to>
      <xdr:col>1</xdr:col>
      <xdr:colOff>250825</xdr:colOff>
      <xdr:row>69</xdr:row>
      <xdr:rowOff>97904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672383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70</xdr:row>
      <xdr:rowOff>46366</xdr:rowOff>
    </xdr:from>
    <xdr:to>
      <xdr:col>1</xdr:col>
      <xdr:colOff>250825</xdr:colOff>
      <xdr:row>72</xdr:row>
      <xdr:rowOff>121087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238491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73</xdr:row>
      <xdr:rowOff>69550</xdr:rowOff>
    </xdr:from>
    <xdr:to>
      <xdr:col>1</xdr:col>
      <xdr:colOff>250825</xdr:colOff>
      <xdr:row>75</xdr:row>
      <xdr:rowOff>137921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804600"/>
          <a:ext cx="498475" cy="47794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56</xdr:row>
      <xdr:rowOff>0</xdr:rowOff>
    </xdr:from>
    <xdr:to>
      <xdr:col>8</xdr:col>
      <xdr:colOff>0</xdr:colOff>
      <xdr:row>74</xdr:row>
      <xdr:rowOff>114300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486775" y="10668000"/>
          <a:ext cx="2630774" cy="3771900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76</xdr:row>
      <xdr:rowOff>0</xdr:rowOff>
    </xdr:from>
    <xdr:to>
      <xdr:col>3</xdr:col>
      <xdr:colOff>644496</xdr:colOff>
      <xdr:row>78</xdr:row>
      <xdr:rowOff>19050</xdr:rowOff>
    </xdr:to>
    <xdr:grpSp>
      <xdr:nvGrpSpPr>
        <xdr:cNvPr id="35" name="Grupp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5553075" y="15582900"/>
          <a:ext cx="549246" cy="0"/>
          <a:chOff x="9417425" y="11970684"/>
          <a:chExt cx="549246" cy="410135"/>
        </a:xfrm>
      </xdr:grpSpPr>
      <xdr:pic>
        <xdr:nvPicPr>
          <xdr:cNvPr id="39" name="Immagin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7425" y="11970684"/>
            <a:ext cx="549246" cy="4101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" name="Rettangolo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 rot="2001427">
            <a:off x="9456737" y="11993424"/>
            <a:ext cx="383054" cy="2178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it-IT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SFP+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3792</xdr:colOff>
      <xdr:row>3</xdr:row>
      <xdr:rowOff>175582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60117" cy="747082"/>
        </a:xfrm>
        <a:prstGeom prst="rect">
          <a:avLst/>
        </a:prstGeom>
      </xdr:spPr>
    </xdr:pic>
    <xdr:clientData/>
  </xdr:twoCellAnchor>
  <xdr:oneCellAnchor>
    <xdr:from>
      <xdr:col>7</xdr:col>
      <xdr:colOff>361950</xdr:colOff>
      <xdr:row>1</xdr:row>
      <xdr:rowOff>47625</xdr:rowOff>
    </xdr:from>
    <xdr:ext cx="1514475" cy="271043"/>
    <xdr:pic>
      <xdr:nvPicPr>
        <xdr:cNvPr id="11" name="Immagine 10" descr="Risultati immagini per logo dell emc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38125"/>
          <a:ext cx="1514475" cy="271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28575</xdr:colOff>
      <xdr:row>14</xdr:row>
      <xdr:rowOff>152400</xdr:rowOff>
    </xdr:from>
    <xdr:to>
      <xdr:col>1</xdr:col>
      <xdr:colOff>269875</xdr:colOff>
      <xdr:row>17</xdr:row>
      <xdr:rowOff>74723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962275"/>
          <a:ext cx="546100" cy="53192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147009</xdr:rowOff>
    </xdr:from>
    <xdr:to>
      <xdr:col>1</xdr:col>
      <xdr:colOff>269875</xdr:colOff>
      <xdr:row>23</xdr:row>
      <xdr:rowOff>69331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99884"/>
          <a:ext cx="546100" cy="53192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141617</xdr:rowOff>
    </xdr:from>
    <xdr:to>
      <xdr:col>1</xdr:col>
      <xdr:colOff>231775</xdr:colOff>
      <xdr:row>26</xdr:row>
      <xdr:rowOff>25840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65992"/>
          <a:ext cx="508000" cy="493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7009</xdr:rowOff>
    </xdr:from>
    <xdr:to>
      <xdr:col>1</xdr:col>
      <xdr:colOff>260350</xdr:colOff>
      <xdr:row>31</xdr:row>
      <xdr:rowOff>189894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39" b="15517"/>
        <a:stretch/>
      </xdr:blipFill>
      <xdr:spPr>
        <a:xfrm>
          <a:off x="0" y="5864884"/>
          <a:ext cx="565150" cy="37338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88</xdr:row>
      <xdr:rowOff>0</xdr:rowOff>
    </xdr:from>
    <xdr:to>
      <xdr:col>1</xdr:col>
      <xdr:colOff>244475</xdr:colOff>
      <xdr:row>90</xdr:row>
      <xdr:rowOff>47625</xdr:rowOff>
    </xdr:to>
    <xdr:pic>
      <xdr:nvPicPr>
        <xdr:cNvPr id="69" name="Immagine 68" descr="Risultati immagini per warranty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5849600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73025</xdr:colOff>
      <xdr:row>51</xdr:row>
      <xdr:rowOff>174625</xdr:rowOff>
    </xdr:from>
    <xdr:to>
      <xdr:col>1</xdr:col>
      <xdr:colOff>266700</xdr:colOff>
      <xdr:row>54</xdr:row>
      <xdr:rowOff>49320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9318625"/>
          <a:ext cx="498475" cy="484295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55</xdr:row>
      <xdr:rowOff>7308</xdr:rowOff>
    </xdr:from>
    <xdr:to>
      <xdr:col>1</xdr:col>
      <xdr:colOff>266700</xdr:colOff>
      <xdr:row>57</xdr:row>
      <xdr:rowOff>82029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9884733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58</xdr:row>
      <xdr:rowOff>30491</xdr:rowOff>
    </xdr:from>
    <xdr:to>
      <xdr:col>1</xdr:col>
      <xdr:colOff>266700</xdr:colOff>
      <xdr:row>60</xdr:row>
      <xdr:rowOff>105212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0450841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61</xdr:row>
      <xdr:rowOff>53675</xdr:rowOff>
    </xdr:from>
    <xdr:to>
      <xdr:col>1</xdr:col>
      <xdr:colOff>266700</xdr:colOff>
      <xdr:row>63</xdr:row>
      <xdr:rowOff>122046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1016950"/>
          <a:ext cx="498475" cy="47794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97</xdr:row>
      <xdr:rowOff>136525</xdr:rowOff>
    </xdr:from>
    <xdr:to>
      <xdr:col>1</xdr:col>
      <xdr:colOff>238125</xdr:colOff>
      <xdr:row>99</xdr:row>
      <xdr:rowOff>193675</xdr:rowOff>
    </xdr:to>
    <xdr:pic>
      <xdr:nvPicPr>
        <xdr:cNvPr id="74" name="Immagine 73" descr="https://www.iconexperience.com/_img/v_collection_png/48x48/shadow/workplace2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17633950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98425</xdr:colOff>
      <xdr:row>94</xdr:row>
      <xdr:rowOff>174625</xdr:rowOff>
    </xdr:from>
    <xdr:to>
      <xdr:col>1</xdr:col>
      <xdr:colOff>187325</xdr:colOff>
      <xdr:row>96</xdr:row>
      <xdr:rowOff>155575</xdr:rowOff>
    </xdr:to>
    <xdr:pic>
      <xdr:nvPicPr>
        <xdr:cNvPr id="75" name="Immagine 74" descr="https://www.iconexperience.com/_img/v_collection_png/48x48/shadow/battery_add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17119600"/>
          <a:ext cx="393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90</xdr:row>
      <xdr:rowOff>107950</xdr:rowOff>
    </xdr:from>
    <xdr:to>
      <xdr:col>1</xdr:col>
      <xdr:colOff>244475</xdr:colOff>
      <xdr:row>92</xdr:row>
      <xdr:rowOff>165100</xdr:rowOff>
    </xdr:to>
    <xdr:pic>
      <xdr:nvPicPr>
        <xdr:cNvPr id="76" name="Immagine 75" descr="https://www.iconexperience.com/_img/v_collection_png/48x48/shadow/hard_drive_add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6309975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177800</xdr:colOff>
      <xdr:row>82</xdr:row>
      <xdr:rowOff>177800</xdr:rowOff>
    </xdr:from>
    <xdr:to>
      <xdr:col>1</xdr:col>
      <xdr:colOff>131763</xdr:colOff>
      <xdr:row>84</xdr:row>
      <xdr:rowOff>55563</xdr:rowOff>
    </xdr:to>
    <xdr:pic>
      <xdr:nvPicPr>
        <xdr:cNvPr id="86" name="Immagine 85" descr="https://www.iconexperience.com/_img/v_collection_png/256x256/shadow/plug_lan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4941550"/>
          <a:ext cx="258763" cy="28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17</xdr:row>
      <xdr:rowOff>152400</xdr:rowOff>
    </xdr:from>
    <xdr:ext cx="546100" cy="531923"/>
    <xdr:pic>
      <xdr:nvPicPr>
        <xdr:cNvPr id="87" name="Immagin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33775"/>
          <a:ext cx="546100" cy="531923"/>
        </a:xfrm>
        <a:prstGeom prst="rect">
          <a:avLst/>
        </a:prstGeom>
      </xdr:spPr>
    </xdr:pic>
    <xdr:clientData/>
  </xdr:oneCellAnchor>
  <xdr:twoCellAnchor editAs="oneCell">
    <xdr:from>
      <xdr:col>6</xdr:col>
      <xdr:colOff>9525</xdr:colOff>
      <xdr:row>5</xdr:row>
      <xdr:rowOff>53454</xdr:rowOff>
    </xdr:from>
    <xdr:to>
      <xdr:col>8</xdr:col>
      <xdr:colOff>0</xdr:colOff>
      <xdr:row>23</xdr:row>
      <xdr:rowOff>162636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177404"/>
          <a:ext cx="2628900" cy="3766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64</xdr:row>
      <xdr:rowOff>0</xdr:rowOff>
    </xdr:from>
    <xdr:to>
      <xdr:col>1</xdr:col>
      <xdr:colOff>250825</xdr:colOff>
      <xdr:row>66</xdr:row>
      <xdr:rowOff>74720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506200"/>
          <a:ext cx="498475" cy="4842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23183</xdr:rowOff>
    </xdr:from>
    <xdr:to>
      <xdr:col>1</xdr:col>
      <xdr:colOff>250825</xdr:colOff>
      <xdr:row>69</xdr:row>
      <xdr:rowOff>97904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072308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70</xdr:row>
      <xdr:rowOff>46366</xdr:rowOff>
    </xdr:from>
    <xdr:to>
      <xdr:col>1</xdr:col>
      <xdr:colOff>250825</xdr:colOff>
      <xdr:row>72</xdr:row>
      <xdr:rowOff>121087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638416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73</xdr:row>
      <xdr:rowOff>69550</xdr:rowOff>
    </xdr:from>
    <xdr:to>
      <xdr:col>1</xdr:col>
      <xdr:colOff>250825</xdr:colOff>
      <xdr:row>75</xdr:row>
      <xdr:rowOff>137921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204525"/>
          <a:ext cx="498475" cy="47794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56</xdr:row>
      <xdr:rowOff>0</xdr:rowOff>
    </xdr:from>
    <xdr:to>
      <xdr:col>8</xdr:col>
      <xdr:colOff>0</xdr:colOff>
      <xdr:row>74</xdr:row>
      <xdr:rowOff>114300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486775" y="10067925"/>
          <a:ext cx="2630774" cy="3771900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76</xdr:row>
      <xdr:rowOff>0</xdr:rowOff>
    </xdr:from>
    <xdr:to>
      <xdr:col>3</xdr:col>
      <xdr:colOff>644496</xdr:colOff>
      <xdr:row>78</xdr:row>
      <xdr:rowOff>19050</xdr:rowOff>
    </xdr:to>
    <xdr:grpSp>
      <xdr:nvGrpSpPr>
        <xdr:cNvPr id="34" name="Grupp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5553075" y="15173325"/>
          <a:ext cx="549246" cy="0"/>
          <a:chOff x="9417425" y="11970684"/>
          <a:chExt cx="549246" cy="410135"/>
        </a:xfrm>
      </xdr:grpSpPr>
      <xdr:pic>
        <xdr:nvPicPr>
          <xdr:cNvPr id="35" name="Immagine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7425" y="11970684"/>
            <a:ext cx="549246" cy="4101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6" name="Rettango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 rot="2001427">
            <a:off x="9456737" y="11993424"/>
            <a:ext cx="383054" cy="2178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it-IT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SFP+</a:t>
            </a:r>
          </a:p>
        </xdr:txBody>
      </xdr:sp>
    </xdr:grpSp>
    <xdr:clientData/>
  </xdr:twoCellAnchor>
  <xdr:twoCellAnchor>
    <xdr:from>
      <xdr:col>3</xdr:col>
      <xdr:colOff>95250</xdr:colOff>
      <xdr:row>76</xdr:row>
      <xdr:rowOff>0</xdr:rowOff>
    </xdr:from>
    <xdr:to>
      <xdr:col>3</xdr:col>
      <xdr:colOff>644496</xdr:colOff>
      <xdr:row>76</xdr:row>
      <xdr:rowOff>0</xdr:rowOff>
    </xdr:to>
    <xdr:grpSp>
      <xdr:nvGrpSpPr>
        <xdr:cNvPr id="37" name="Grupp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5553075" y="15173325"/>
          <a:ext cx="549246" cy="0"/>
          <a:chOff x="9417425" y="11970684"/>
          <a:chExt cx="549246" cy="410135"/>
        </a:xfrm>
      </xdr:grpSpPr>
      <xdr:pic>
        <xdr:nvPicPr>
          <xdr:cNvPr id="38" name="Immagine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7425" y="11970684"/>
            <a:ext cx="549246" cy="4101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Rettangolo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 rot="2001427">
            <a:off x="9456737" y="11993424"/>
            <a:ext cx="383054" cy="2178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it-IT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SFP+</a:t>
            </a:r>
          </a:p>
        </xdr:txBody>
      </xdr:sp>
    </xdr:grpSp>
    <xdr:clientData/>
  </xdr:twoCellAnchor>
  <xdr:twoCellAnchor editAs="oneCell">
    <xdr:from>
      <xdr:col>0</xdr:col>
      <xdr:colOff>177800</xdr:colOff>
      <xdr:row>82</xdr:row>
      <xdr:rowOff>177800</xdr:rowOff>
    </xdr:from>
    <xdr:to>
      <xdr:col>1</xdr:col>
      <xdr:colOff>131763</xdr:colOff>
      <xdr:row>84</xdr:row>
      <xdr:rowOff>55563</xdr:rowOff>
    </xdr:to>
    <xdr:pic>
      <xdr:nvPicPr>
        <xdr:cNvPr id="30" name="Immagine 29" descr="https://www.iconexperience.com/_img/v_collection_png/256x256/shadow/plug_lan.pn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5563850"/>
          <a:ext cx="271463" cy="28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361950</xdr:colOff>
      <xdr:row>1</xdr:row>
      <xdr:rowOff>47625</xdr:rowOff>
    </xdr:from>
    <xdr:ext cx="1514475" cy="271043"/>
    <xdr:pic>
      <xdr:nvPicPr>
        <xdr:cNvPr id="11" name="Immagine 10" descr="Risultati immagini per logo dell emc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38125"/>
          <a:ext cx="1514475" cy="271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28575</xdr:colOff>
      <xdr:row>14</xdr:row>
      <xdr:rowOff>152400</xdr:rowOff>
    </xdr:from>
    <xdr:to>
      <xdr:col>1</xdr:col>
      <xdr:colOff>269875</xdr:colOff>
      <xdr:row>17</xdr:row>
      <xdr:rowOff>74723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962275"/>
          <a:ext cx="546100" cy="53192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147009</xdr:rowOff>
    </xdr:from>
    <xdr:to>
      <xdr:col>1</xdr:col>
      <xdr:colOff>269875</xdr:colOff>
      <xdr:row>23</xdr:row>
      <xdr:rowOff>69331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99884"/>
          <a:ext cx="546100" cy="53192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141617</xdr:rowOff>
    </xdr:from>
    <xdr:to>
      <xdr:col>1</xdr:col>
      <xdr:colOff>231775</xdr:colOff>
      <xdr:row>26</xdr:row>
      <xdr:rowOff>25840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65992"/>
          <a:ext cx="508000" cy="493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7009</xdr:rowOff>
    </xdr:from>
    <xdr:to>
      <xdr:col>1</xdr:col>
      <xdr:colOff>260350</xdr:colOff>
      <xdr:row>31</xdr:row>
      <xdr:rowOff>189894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39" b="15517"/>
        <a:stretch/>
      </xdr:blipFill>
      <xdr:spPr>
        <a:xfrm>
          <a:off x="0" y="5864884"/>
          <a:ext cx="565150" cy="37338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88</xdr:row>
      <xdr:rowOff>0</xdr:rowOff>
    </xdr:from>
    <xdr:to>
      <xdr:col>1</xdr:col>
      <xdr:colOff>244475</xdr:colOff>
      <xdr:row>90</xdr:row>
      <xdr:rowOff>47625</xdr:rowOff>
    </xdr:to>
    <xdr:pic>
      <xdr:nvPicPr>
        <xdr:cNvPr id="40" name="Immagine 39" descr="Risultati immagini per warranty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5849600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73025</xdr:colOff>
      <xdr:row>51</xdr:row>
      <xdr:rowOff>174625</xdr:rowOff>
    </xdr:from>
    <xdr:to>
      <xdr:col>1</xdr:col>
      <xdr:colOff>266700</xdr:colOff>
      <xdr:row>54</xdr:row>
      <xdr:rowOff>49320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9318625"/>
          <a:ext cx="498475" cy="484295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55</xdr:row>
      <xdr:rowOff>7308</xdr:rowOff>
    </xdr:from>
    <xdr:to>
      <xdr:col>1</xdr:col>
      <xdr:colOff>266700</xdr:colOff>
      <xdr:row>57</xdr:row>
      <xdr:rowOff>82029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9884733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58</xdr:row>
      <xdr:rowOff>30491</xdr:rowOff>
    </xdr:from>
    <xdr:to>
      <xdr:col>1</xdr:col>
      <xdr:colOff>266700</xdr:colOff>
      <xdr:row>60</xdr:row>
      <xdr:rowOff>105212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0450841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61</xdr:row>
      <xdr:rowOff>53675</xdr:rowOff>
    </xdr:from>
    <xdr:to>
      <xdr:col>1</xdr:col>
      <xdr:colOff>266700</xdr:colOff>
      <xdr:row>63</xdr:row>
      <xdr:rowOff>122046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11016950"/>
          <a:ext cx="498475" cy="477946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97</xdr:row>
      <xdr:rowOff>136525</xdr:rowOff>
    </xdr:from>
    <xdr:to>
      <xdr:col>1</xdr:col>
      <xdr:colOff>238125</xdr:colOff>
      <xdr:row>99</xdr:row>
      <xdr:rowOff>193675</xdr:rowOff>
    </xdr:to>
    <xdr:pic>
      <xdr:nvPicPr>
        <xdr:cNvPr id="73" name="Immagine 72" descr="https://www.iconexperience.com/_img/v_collection_png/48x48/shadow/workplace2.pn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17633950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98425</xdr:colOff>
      <xdr:row>94</xdr:row>
      <xdr:rowOff>174625</xdr:rowOff>
    </xdr:from>
    <xdr:to>
      <xdr:col>1</xdr:col>
      <xdr:colOff>187325</xdr:colOff>
      <xdr:row>96</xdr:row>
      <xdr:rowOff>155575</xdr:rowOff>
    </xdr:to>
    <xdr:pic>
      <xdr:nvPicPr>
        <xdr:cNvPr id="74" name="Immagine 73" descr="https://www.iconexperience.com/_img/v_collection_png/48x48/shadow/battery_add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17119600"/>
          <a:ext cx="393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90</xdr:row>
      <xdr:rowOff>107950</xdr:rowOff>
    </xdr:from>
    <xdr:to>
      <xdr:col>1</xdr:col>
      <xdr:colOff>244475</xdr:colOff>
      <xdr:row>92</xdr:row>
      <xdr:rowOff>165100</xdr:rowOff>
    </xdr:to>
    <xdr:pic>
      <xdr:nvPicPr>
        <xdr:cNvPr id="75" name="Immagine 74" descr="https://www.iconexperience.com/_img/v_collection_png/48x48/shadow/hard_drive_add.pn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6309975"/>
          <a:ext cx="469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177800</xdr:colOff>
      <xdr:row>82</xdr:row>
      <xdr:rowOff>177800</xdr:rowOff>
    </xdr:from>
    <xdr:to>
      <xdr:col>1</xdr:col>
      <xdr:colOff>131763</xdr:colOff>
      <xdr:row>84</xdr:row>
      <xdr:rowOff>55563</xdr:rowOff>
    </xdr:to>
    <xdr:pic>
      <xdr:nvPicPr>
        <xdr:cNvPr id="85" name="Immagine 84" descr="https://www.iconexperience.com/_img/v_collection_png/256x256/shadow/plug_lan.png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4941550"/>
          <a:ext cx="258763" cy="28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17</xdr:row>
      <xdr:rowOff>152400</xdr:rowOff>
    </xdr:from>
    <xdr:ext cx="546100" cy="531923"/>
    <xdr:pic>
      <xdr:nvPicPr>
        <xdr:cNvPr id="86" name="Immagin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33775"/>
          <a:ext cx="546100" cy="531923"/>
        </a:xfrm>
        <a:prstGeom prst="rect">
          <a:avLst/>
        </a:prstGeom>
      </xdr:spPr>
    </xdr:pic>
    <xdr:clientData/>
  </xdr:oneCellAnchor>
  <xdr:twoCellAnchor editAs="oneCell">
    <xdr:from>
      <xdr:col>6</xdr:col>
      <xdr:colOff>9525</xdr:colOff>
      <xdr:row>5</xdr:row>
      <xdr:rowOff>53454</xdr:rowOff>
    </xdr:from>
    <xdr:to>
      <xdr:col>8</xdr:col>
      <xdr:colOff>0</xdr:colOff>
      <xdr:row>23</xdr:row>
      <xdr:rowOff>162636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177404"/>
          <a:ext cx="2628900" cy="3766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64</xdr:row>
      <xdr:rowOff>0</xdr:rowOff>
    </xdr:from>
    <xdr:to>
      <xdr:col>1</xdr:col>
      <xdr:colOff>250825</xdr:colOff>
      <xdr:row>66</xdr:row>
      <xdr:rowOff>74720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506200"/>
          <a:ext cx="498475" cy="4842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23183</xdr:rowOff>
    </xdr:from>
    <xdr:to>
      <xdr:col>1</xdr:col>
      <xdr:colOff>250825</xdr:colOff>
      <xdr:row>69</xdr:row>
      <xdr:rowOff>97904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072308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70</xdr:row>
      <xdr:rowOff>46366</xdr:rowOff>
    </xdr:from>
    <xdr:to>
      <xdr:col>1</xdr:col>
      <xdr:colOff>250825</xdr:colOff>
      <xdr:row>72</xdr:row>
      <xdr:rowOff>121087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638416"/>
          <a:ext cx="498475" cy="48429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73</xdr:row>
      <xdr:rowOff>69550</xdr:rowOff>
    </xdr:from>
    <xdr:to>
      <xdr:col>1</xdr:col>
      <xdr:colOff>250825</xdr:colOff>
      <xdr:row>75</xdr:row>
      <xdr:rowOff>137921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204525"/>
          <a:ext cx="498475" cy="47794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56</xdr:row>
      <xdr:rowOff>0</xdr:rowOff>
    </xdr:from>
    <xdr:to>
      <xdr:col>8</xdr:col>
      <xdr:colOff>0</xdr:colOff>
      <xdr:row>74</xdr:row>
      <xdr:rowOff>114300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486775" y="10067925"/>
          <a:ext cx="2630774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3792</xdr:colOff>
      <xdr:row>3</xdr:row>
      <xdr:rowOff>175582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75992" cy="747082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76</xdr:row>
      <xdr:rowOff>0</xdr:rowOff>
    </xdr:from>
    <xdr:to>
      <xdr:col>3</xdr:col>
      <xdr:colOff>644496</xdr:colOff>
      <xdr:row>78</xdr:row>
      <xdr:rowOff>19050</xdr:rowOff>
    </xdr:to>
    <xdr:grpSp>
      <xdr:nvGrpSpPr>
        <xdr:cNvPr id="34" name="Grupp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/>
      </xdr:nvGrpSpPr>
      <xdr:grpSpPr>
        <a:xfrm>
          <a:off x="5553075" y="15173325"/>
          <a:ext cx="549246" cy="0"/>
          <a:chOff x="9417425" y="11970684"/>
          <a:chExt cx="549246" cy="410135"/>
        </a:xfrm>
      </xdr:grpSpPr>
      <xdr:pic>
        <xdr:nvPicPr>
          <xdr:cNvPr id="35" name="Immagine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7425" y="11970684"/>
            <a:ext cx="549246" cy="4101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Rettangolo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 rot="2001427">
            <a:off x="9456737" y="11993424"/>
            <a:ext cx="383054" cy="2178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it-IT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SFP+</a:t>
            </a:r>
          </a:p>
        </xdr:txBody>
      </xdr:sp>
    </xdr:grpSp>
    <xdr:clientData/>
  </xdr:twoCellAnchor>
  <xdr:twoCellAnchor>
    <xdr:from>
      <xdr:col>3</xdr:col>
      <xdr:colOff>95250</xdr:colOff>
      <xdr:row>76</xdr:row>
      <xdr:rowOff>0</xdr:rowOff>
    </xdr:from>
    <xdr:to>
      <xdr:col>3</xdr:col>
      <xdr:colOff>644496</xdr:colOff>
      <xdr:row>76</xdr:row>
      <xdr:rowOff>0</xdr:rowOff>
    </xdr:to>
    <xdr:grpSp>
      <xdr:nvGrpSpPr>
        <xdr:cNvPr id="50" name="Grupp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5553075" y="15173325"/>
          <a:ext cx="549246" cy="0"/>
          <a:chOff x="9417425" y="11970684"/>
          <a:chExt cx="549246" cy="410135"/>
        </a:xfrm>
      </xdr:grpSpPr>
      <xdr:pic>
        <xdr:nvPicPr>
          <xdr:cNvPr id="51" name="Immagine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17425" y="11970684"/>
            <a:ext cx="549246" cy="4101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2" name="Rettangolo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/>
        </xdr:nvSpPr>
        <xdr:spPr>
          <a:xfrm rot="2001427">
            <a:off x="9456737" y="11993424"/>
            <a:ext cx="383054" cy="2178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it-IT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SFP+</a:t>
            </a:r>
          </a:p>
        </xdr:txBody>
      </xdr:sp>
    </xdr:grpSp>
    <xdr:clientData/>
  </xdr:twoCellAnchor>
  <xdr:twoCellAnchor editAs="oneCell">
    <xdr:from>
      <xdr:col>0</xdr:col>
      <xdr:colOff>177800</xdr:colOff>
      <xdr:row>82</xdr:row>
      <xdr:rowOff>177800</xdr:rowOff>
    </xdr:from>
    <xdr:to>
      <xdr:col>1</xdr:col>
      <xdr:colOff>131763</xdr:colOff>
      <xdr:row>84</xdr:row>
      <xdr:rowOff>55563</xdr:rowOff>
    </xdr:to>
    <xdr:pic>
      <xdr:nvPicPr>
        <xdr:cNvPr id="30" name="Immagine 29" descr="https://www.iconexperience.com/_img/v_collection_png/256x256/shadow/plug_lan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5563850"/>
          <a:ext cx="271463" cy="28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3792</xdr:colOff>
      <xdr:row>3</xdr:row>
      <xdr:rowOff>175582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75992" cy="747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</xdr:row>
          <xdr:rowOff>76200</xdr:rowOff>
        </xdr:from>
        <xdr:to>
          <xdr:col>6</xdr:col>
          <xdr:colOff>1495425</xdr:colOff>
          <xdr:row>6</xdr:row>
          <xdr:rowOff>76200</xdr:rowOff>
        </xdr:to>
        <xdr:sp macro="" textlink="">
          <xdr:nvSpPr>
            <xdr:cNvPr id="4097" name="SalvaPDF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5</xdr:col>
      <xdr:colOff>104775</xdr:colOff>
      <xdr:row>3</xdr:row>
      <xdr:rowOff>38100</xdr:rowOff>
    </xdr:from>
    <xdr:to>
      <xdr:col>6</xdr:col>
      <xdr:colOff>1132417</xdr:colOff>
      <xdr:row>3</xdr:row>
      <xdr:rowOff>291122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4350"/>
          <a:ext cx="2084917" cy="253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6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9" tint="-0.249977111117893"/>
  </sheetPr>
  <dimension ref="A1:Q101"/>
  <sheetViews>
    <sheetView tabSelected="1" zoomScaleNormal="100" workbookViewId="0">
      <pane ySplit="5" topLeftCell="A6" activePane="bottomLeft" state="frozen"/>
      <selection pane="bottomLeft" activeCell="F5" sqref="F5"/>
    </sheetView>
  </sheetViews>
  <sheetFormatPr defaultColWidth="0" defaultRowHeight="15" zeroHeight="1" x14ac:dyDescent="0.25"/>
  <cols>
    <col min="1" max="2" width="4.5703125" style="79" customWidth="1"/>
    <col min="3" max="3" width="72.7109375" style="196" customWidth="1"/>
    <col min="4" max="4" width="10.7109375" style="79" customWidth="1"/>
    <col min="5" max="5" width="17.42578125" style="201" customWidth="1"/>
    <col min="6" max="6" width="17.140625" style="201" customWidth="1"/>
    <col min="7" max="7" width="3.5703125" style="125" customWidth="1"/>
    <col min="8" max="8" width="36" style="125" customWidth="1"/>
    <col min="9" max="9" width="14" style="132" hidden="1"/>
    <col min="10" max="10" width="11.42578125" style="125" hidden="1"/>
    <col min="11" max="11" width="9.140625" style="125" hidden="1"/>
    <col min="12" max="16384" width="9.140625" style="79" hidden="1"/>
  </cols>
  <sheetData>
    <row r="1" spans="1:11" x14ac:dyDescent="0.25">
      <c r="A1" s="56"/>
      <c r="B1" s="56"/>
      <c r="C1" s="187"/>
      <c r="D1" s="56"/>
      <c r="E1" s="188" t="s">
        <v>152</v>
      </c>
      <c r="F1" s="189">
        <f>SUM(I8:I100)*F5</f>
        <v>0</v>
      </c>
      <c r="G1" s="119"/>
      <c r="H1" s="120"/>
      <c r="I1" s="121"/>
      <c r="J1" s="120"/>
      <c r="K1" s="120"/>
    </row>
    <row r="2" spans="1:11" x14ac:dyDescent="0.25">
      <c r="A2" s="56"/>
      <c r="B2" s="56"/>
      <c r="C2" s="187"/>
      <c r="D2" s="56"/>
      <c r="E2" s="190">
        <v>0.2</v>
      </c>
      <c r="F2" s="191">
        <f>SUM(J8:J100)*F5</f>
        <v>0</v>
      </c>
      <c r="G2" s="119"/>
      <c r="H2" s="120"/>
      <c r="I2" s="121"/>
      <c r="J2" s="120"/>
      <c r="K2" s="120"/>
    </row>
    <row r="3" spans="1:11" x14ac:dyDescent="0.25">
      <c r="A3" s="56"/>
      <c r="B3" s="56"/>
      <c r="C3" s="187"/>
      <c r="D3" s="56"/>
      <c r="E3" s="192" t="s">
        <v>153</v>
      </c>
      <c r="F3" s="193">
        <f>SUM(F1:F2)</f>
        <v>0</v>
      </c>
      <c r="G3" s="119"/>
      <c r="H3" s="120"/>
      <c r="I3" s="121"/>
      <c r="J3" s="120"/>
      <c r="K3" s="120"/>
    </row>
    <row r="4" spans="1:11" ht="15.75" thickBot="1" x14ac:dyDescent="0.3">
      <c r="A4" s="56"/>
      <c r="B4" s="56"/>
      <c r="C4" s="187"/>
      <c r="D4" s="56"/>
      <c r="E4" s="194"/>
      <c r="F4" s="194"/>
      <c r="G4" s="119"/>
      <c r="H4" s="120"/>
      <c r="I4" s="121"/>
      <c r="J4" s="120"/>
      <c r="K4" s="120"/>
    </row>
    <row r="5" spans="1:11" ht="31.5" thickTop="1" thickBot="1" x14ac:dyDescent="0.3">
      <c r="A5" s="56"/>
      <c r="B5" s="56"/>
      <c r="C5" s="195" t="s">
        <v>607</v>
      </c>
      <c r="D5" s="216" t="str">
        <f>HYPERLINK("https://convenzioni.converge.it/docs/L2GuidaAllaConvenzioneTecnologieServer3.pdf","&amp;")</f>
        <v>&amp;</v>
      </c>
      <c r="E5" s="173" t="s">
        <v>154</v>
      </c>
      <c r="F5" s="174"/>
      <c r="G5" s="119"/>
      <c r="H5" s="123" t="str">
        <f>Riepilogo!G8</f>
        <v>Version 3.3</v>
      </c>
      <c r="I5" s="121"/>
      <c r="J5" s="120"/>
      <c r="K5" s="120"/>
    </row>
    <row r="6" spans="1:11" ht="15.75" customHeight="1" thickTop="1" x14ac:dyDescent="0.25">
      <c r="A6" s="56"/>
      <c r="B6" s="56"/>
      <c r="D6" s="56"/>
      <c r="E6" s="194"/>
      <c r="F6" s="124"/>
      <c r="G6" s="119"/>
      <c r="H6" s="120"/>
      <c r="I6" s="121"/>
      <c r="J6" s="120"/>
      <c r="K6" s="120"/>
    </row>
    <row r="7" spans="1:11" ht="15.75" customHeight="1" x14ac:dyDescent="0.25">
      <c r="A7" s="125"/>
      <c r="B7" s="56"/>
      <c r="C7" s="188" t="s">
        <v>0</v>
      </c>
      <c r="D7" s="230" t="str">
        <f>HYPERLINK("https://convenzioni.converge.it/docs/ts3_datasheet/dell-emc-poweredge-t640-spec-sheet.pdf","i")</f>
        <v>i</v>
      </c>
      <c r="E7" s="194"/>
      <c r="F7" s="194"/>
      <c r="G7" s="119"/>
      <c r="H7" s="119"/>
      <c r="I7" s="120"/>
      <c r="J7" s="120"/>
      <c r="K7" s="120"/>
    </row>
    <row r="8" spans="1:11" ht="16.5" customHeight="1" x14ac:dyDescent="0.25">
      <c r="A8" s="56"/>
      <c r="B8" s="56"/>
      <c r="C8" s="197" t="s">
        <v>279</v>
      </c>
      <c r="D8" s="230"/>
      <c r="E8" s="198" t="str">
        <f>IF($F$5&gt;0,"TS3L2-SRV","")</f>
        <v/>
      </c>
      <c r="F8" s="127" t="str">
        <f>IF($F$5&gt;0,1,"")</f>
        <v/>
      </c>
      <c r="G8" s="119"/>
      <c r="H8" s="119"/>
      <c r="I8" s="128">
        <f>VLOOKUP($C8,TS3L2_ALL,10,FALSE)</f>
        <v>2088</v>
      </c>
      <c r="J8" s="120"/>
      <c r="K8" s="128" t="str">
        <f>VLOOKUP($C8,TS3L2_ALL,12,FALSE)</f>
        <v>L2N01</v>
      </c>
    </row>
    <row r="9" spans="1:11" ht="15.75" customHeight="1" x14ac:dyDescent="0.25">
      <c r="A9" s="56"/>
      <c r="B9" s="56"/>
      <c r="C9" s="194"/>
      <c r="D9" s="56"/>
      <c r="E9" s="194"/>
      <c r="F9" s="124"/>
      <c r="G9" s="119"/>
      <c r="H9" s="119"/>
      <c r="I9" s="121"/>
      <c r="J9" s="120"/>
      <c r="K9" s="120"/>
    </row>
    <row r="10" spans="1:11" ht="15.75" customHeight="1" thickBot="1" x14ac:dyDescent="0.3">
      <c r="A10" s="56"/>
      <c r="B10" s="56"/>
      <c r="C10" s="199" t="s">
        <v>2</v>
      </c>
      <c r="D10" s="230" t="str">
        <f>HYPERLINK("https://dellservervr.dell.com/poweredge-t640/","i")</f>
        <v>i</v>
      </c>
      <c r="E10" s="194"/>
      <c r="F10" s="124"/>
      <c r="G10" s="119"/>
      <c r="H10" s="119"/>
      <c r="I10" s="121"/>
      <c r="J10" s="120"/>
      <c r="K10" s="120"/>
    </row>
    <row r="11" spans="1:11" ht="16.5" customHeight="1" thickTop="1" thickBot="1" x14ac:dyDescent="0.25">
      <c r="A11" s="56"/>
      <c r="B11" s="56"/>
      <c r="C11" s="200" t="s">
        <v>370</v>
      </c>
      <c r="D11" s="230"/>
      <c r="E11" s="197" t="str">
        <f>VLOOKUP($C$11,TS3L2_Chassis,13,FALSE)</f>
        <v/>
      </c>
      <c r="F11" s="151" t="str">
        <f>VLOOKUP($C$11,TS3L2_Chassis,7,FALSE)</f>
        <v/>
      </c>
      <c r="G11" s="119"/>
      <c r="H11" s="119"/>
      <c r="I11" s="128">
        <f>VLOOKUP($C$11,TS3L2_Chassis,10,FALSE)</f>
        <v>0</v>
      </c>
      <c r="J11" s="128">
        <f>VLOOKUP($C11,TS3L2_Chassis,11,FALSE)</f>
        <v>0</v>
      </c>
      <c r="K11" s="128" t="str">
        <f>VLOOKUP($C11,TS3L2_Chassis,12,FALSE)</f>
        <v/>
      </c>
    </row>
    <row r="12" spans="1:11" ht="15.75" customHeight="1" thickTop="1" x14ac:dyDescent="0.25">
      <c r="A12" s="56"/>
      <c r="B12" s="56"/>
      <c r="C12" s="194"/>
      <c r="D12" s="56"/>
      <c r="E12" s="194"/>
      <c r="F12" s="124"/>
      <c r="G12" s="119"/>
      <c r="H12" s="119"/>
      <c r="I12" s="121"/>
      <c r="J12" s="120"/>
      <c r="K12" s="120"/>
    </row>
    <row r="13" spans="1:11" ht="15.75" customHeight="1" x14ac:dyDescent="0.25">
      <c r="A13" s="56"/>
      <c r="B13" s="56"/>
      <c r="C13" s="188" t="s">
        <v>3</v>
      </c>
      <c r="D13" s="56"/>
      <c r="F13" s="124"/>
      <c r="G13" s="119"/>
      <c r="H13" s="119"/>
      <c r="I13" s="121"/>
      <c r="J13" s="120"/>
      <c r="K13" s="120"/>
    </row>
    <row r="14" spans="1:11" ht="16.5" customHeight="1" x14ac:dyDescent="0.25">
      <c r="A14" s="56"/>
      <c r="B14" s="56"/>
      <c r="C14" s="197" t="s">
        <v>4</v>
      </c>
      <c r="D14" s="56"/>
      <c r="E14" s="194"/>
      <c r="F14" s="124"/>
      <c r="G14" s="119"/>
      <c r="H14" s="119"/>
      <c r="I14" s="121"/>
      <c r="J14" s="120"/>
      <c r="K14" s="120"/>
    </row>
    <row r="15" spans="1:11" ht="15.75" customHeight="1" x14ac:dyDescent="0.25">
      <c r="A15" s="56"/>
      <c r="B15" s="56"/>
      <c r="C15" s="194"/>
      <c r="D15" s="56"/>
      <c r="E15" s="194"/>
      <c r="F15" s="124"/>
      <c r="G15" s="119"/>
      <c r="H15" s="119"/>
      <c r="I15" s="121"/>
      <c r="J15" s="120"/>
      <c r="K15" s="120"/>
    </row>
    <row r="16" spans="1:11" ht="15.75" customHeight="1" x14ac:dyDescent="0.25">
      <c r="A16" s="56"/>
      <c r="B16" s="56"/>
      <c r="C16" s="188" t="s">
        <v>5</v>
      </c>
      <c r="D16" s="230" t="str">
        <f>HYPERLINK("https://ark.intel.com/content/www/it/it/ark/products/193385/intel-xeon-silver-4214-processor-16-5m-cache-2-20-ghz.html","i")</f>
        <v>i</v>
      </c>
      <c r="E16" s="194"/>
      <c r="F16" s="124"/>
      <c r="G16" s="119"/>
      <c r="H16" s="119"/>
      <c r="I16" s="121"/>
      <c r="J16" s="120"/>
      <c r="K16" s="120"/>
    </row>
    <row r="17" spans="1:11" ht="16.5" customHeight="1" x14ac:dyDescent="0.25">
      <c r="A17" s="56"/>
      <c r="B17" s="56"/>
      <c r="C17" s="197" t="s">
        <v>371</v>
      </c>
      <c r="D17" s="230"/>
      <c r="E17" s="194"/>
      <c r="F17" s="124"/>
      <c r="G17" s="119"/>
      <c r="H17" s="119"/>
      <c r="I17" s="121"/>
      <c r="J17" s="120"/>
      <c r="K17" s="120"/>
    </row>
    <row r="18" spans="1:11" ht="15.75" customHeight="1" x14ac:dyDescent="0.25">
      <c r="A18" s="56"/>
      <c r="B18" s="56"/>
      <c r="C18" s="202"/>
      <c r="D18" s="56"/>
      <c r="E18" s="194"/>
      <c r="F18" s="124"/>
      <c r="G18" s="119"/>
      <c r="H18" s="119"/>
      <c r="I18" s="121"/>
      <c r="J18" s="120"/>
      <c r="K18" s="120"/>
    </row>
    <row r="19" spans="1:11" ht="15.75" customHeight="1" thickBot="1" x14ac:dyDescent="0.3">
      <c r="A19" s="56"/>
      <c r="B19" s="56"/>
      <c r="C19" s="188" t="s">
        <v>374</v>
      </c>
      <c r="D19" s="56"/>
      <c r="E19" s="194"/>
      <c r="F19" s="124"/>
      <c r="G19" s="119"/>
      <c r="H19" s="119"/>
      <c r="I19" s="121"/>
      <c r="J19" s="120"/>
      <c r="K19" s="120"/>
    </row>
    <row r="20" spans="1:11" ht="16.5" customHeight="1" thickTop="1" thickBot="1" x14ac:dyDescent="0.3">
      <c r="A20" s="56"/>
      <c r="B20" s="56"/>
      <c r="C20" s="200" t="s">
        <v>373</v>
      </c>
      <c r="D20" s="56"/>
      <c r="E20" s="197" t="str">
        <f>VLOOKUP($C$20,TS3L2_CPU,13,FALSE)</f>
        <v/>
      </c>
      <c r="F20" s="151">
        <f>VLOOKUP($C$20,TS3L2_CPU,7,FALSE)</f>
        <v>0</v>
      </c>
      <c r="G20" s="119"/>
      <c r="H20" s="119"/>
      <c r="I20" s="128">
        <f>VLOOKUP($C$20,TS3L2_CPU,10,FALSE)</f>
        <v>0</v>
      </c>
      <c r="J20" s="120"/>
      <c r="K20" s="128" t="str">
        <f>VLOOKUP($C20,TS3L2_ALL,12,FALSE)</f>
        <v/>
      </c>
    </row>
    <row r="21" spans="1:11" ht="15.75" customHeight="1" thickTop="1" x14ac:dyDescent="0.25">
      <c r="A21" s="56"/>
      <c r="B21" s="56"/>
      <c r="C21" s="194"/>
      <c r="D21" s="56"/>
      <c r="E21" s="194"/>
      <c r="F21" s="124"/>
      <c r="G21" s="119"/>
      <c r="H21" s="119"/>
      <c r="I21" s="121"/>
      <c r="J21" s="120"/>
      <c r="K21" s="120"/>
    </row>
    <row r="22" spans="1:11" ht="15.75" customHeight="1" thickBot="1" x14ac:dyDescent="0.3">
      <c r="A22" s="56"/>
      <c r="B22" s="56"/>
      <c r="C22" s="199" t="s">
        <v>6</v>
      </c>
      <c r="D22" s="56"/>
      <c r="E22" s="194"/>
      <c r="F22" s="194"/>
      <c r="G22" s="119"/>
      <c r="H22" s="119"/>
      <c r="I22" s="120"/>
      <c r="J22" s="120"/>
      <c r="K22" s="120"/>
    </row>
    <row r="23" spans="1:11" ht="16.5" customHeight="1" thickTop="1" thickBot="1" x14ac:dyDescent="0.3">
      <c r="A23" s="56"/>
      <c r="B23" s="56"/>
      <c r="C23" s="200" t="s">
        <v>24</v>
      </c>
      <c r="D23" s="56"/>
      <c r="E23" s="197" t="str">
        <f>VLOOKUP($C$23,TS3L2_RAM,13,FALSE)</f>
        <v/>
      </c>
      <c r="F23" s="151">
        <f>VLOOKUP($C$23,TS3L2_RAM,7,FALSE)</f>
        <v>0</v>
      </c>
      <c r="G23" s="119"/>
      <c r="H23" s="119"/>
      <c r="I23" s="128">
        <f>VLOOKUP($C$23,TS3L2_RAM,10,FALSE)</f>
        <v>0</v>
      </c>
      <c r="J23" s="120"/>
      <c r="K23" s="128" t="str">
        <f>VLOOKUP($C23,TS3L2_ALL,12,FALSE)</f>
        <v/>
      </c>
    </row>
    <row r="24" spans="1:11" ht="15.75" customHeight="1" thickTop="1" x14ac:dyDescent="0.25">
      <c r="A24" s="56"/>
      <c r="B24" s="56"/>
      <c r="D24" s="56"/>
      <c r="E24" s="194"/>
      <c r="F24" s="124"/>
      <c r="G24" s="119"/>
      <c r="H24" s="119"/>
      <c r="I24" s="121"/>
      <c r="J24" s="120"/>
      <c r="K24" s="120"/>
    </row>
    <row r="25" spans="1:11" ht="15.75" customHeight="1" thickBot="1" x14ac:dyDescent="0.3">
      <c r="A25" s="56"/>
      <c r="B25" s="56"/>
      <c r="C25" s="203" t="s">
        <v>7</v>
      </c>
      <c r="D25" s="56"/>
      <c r="E25" s="194"/>
      <c r="F25" s="194"/>
      <c r="G25" s="119"/>
      <c r="H25" s="119"/>
      <c r="I25" s="120"/>
      <c r="J25" s="120"/>
      <c r="K25" s="120"/>
    </row>
    <row r="26" spans="1:11" ht="16.5" customHeight="1" thickTop="1" thickBot="1" x14ac:dyDescent="0.3">
      <c r="A26" s="56"/>
      <c r="B26" s="56"/>
      <c r="C26" s="200" t="s">
        <v>30</v>
      </c>
      <c r="D26" s="56"/>
      <c r="E26" s="197" t="str">
        <f>VLOOKUP($C$26,TS3L2_OS,13,FALSE)</f>
        <v/>
      </c>
      <c r="F26" s="151" t="str">
        <f>VLOOKUP($C$26,TS3L2_OS,7,FALSE)</f>
        <v/>
      </c>
      <c r="G26" s="119"/>
      <c r="H26" s="119"/>
      <c r="I26" s="128">
        <f>VLOOKUP($C$26,TS3L2_OS,10,FALSE)</f>
        <v>0</v>
      </c>
      <c r="J26" s="120"/>
      <c r="K26" s="128" t="str">
        <f>VLOOKUP($C26,TS3L2_ALL,12,FALSE)</f>
        <v/>
      </c>
    </row>
    <row r="27" spans="1:11" ht="15.75" customHeight="1" thickTop="1" x14ac:dyDescent="0.25">
      <c r="A27" s="56"/>
      <c r="B27" s="56"/>
      <c r="C27" s="201"/>
      <c r="D27" s="56"/>
      <c r="E27" s="197" t="str">
        <f>IF(F20=1,VLOOKUP($C$26,TS3L2_OS,20,FALSE),"")</f>
        <v/>
      </c>
      <c r="F27" s="151">
        <f>IF(F20=1,VLOOKUP($C$26,TS3L2_OS,14,FALSE),0)</f>
        <v>0</v>
      </c>
      <c r="G27" s="119"/>
      <c r="H27" s="119"/>
      <c r="I27" s="128">
        <f>IF(F20=1,VLOOKUP($C$26,TS3L2_OS,17,FALSE),0)</f>
        <v>0</v>
      </c>
      <c r="J27" s="120"/>
      <c r="K27" s="128" t="str">
        <f>IF(F20=1,VLOOKUP($C26,TS3L2_OS,19,FALSE),"")</f>
        <v/>
      </c>
    </row>
    <row r="28" spans="1:11" ht="15.75" customHeight="1" thickBot="1" x14ac:dyDescent="0.3">
      <c r="A28" s="56"/>
      <c r="B28" s="56"/>
      <c r="C28" s="204" t="s">
        <v>398</v>
      </c>
      <c r="D28" s="230" t="str">
        <f>IF(J29&gt;0,HYPERLINK("https://convenzioni.converge.it/docs/ts3_datasheet/dellemc-poweredge-raid-controller-h740p.pdf","i"),HYPERLINK("https://convenzioni.converge.it/docs/ts3_datasheet/DELL_H730.pdf","i"))</f>
        <v>i</v>
      </c>
      <c r="F28" s="124"/>
      <c r="G28" s="119"/>
      <c r="H28" s="119"/>
      <c r="I28" s="121"/>
      <c r="J28" s="120"/>
      <c r="K28" s="120"/>
    </row>
    <row r="29" spans="1:11" ht="16.5" customHeight="1" thickTop="1" thickBot="1" x14ac:dyDescent="0.25">
      <c r="A29" s="56"/>
      <c r="B29" s="56"/>
      <c r="C29" s="200" t="s">
        <v>397</v>
      </c>
      <c r="D29" s="230"/>
      <c r="E29" s="197" t="str">
        <f>VLOOKUP($C$29,TS3L2_ALL,13,FALSE)</f>
        <v/>
      </c>
      <c r="F29" s="151" t="str">
        <f>VLOOKUP($C$29,TS3L2_ALL,7,FALSE)</f>
        <v/>
      </c>
      <c r="G29" s="119"/>
      <c r="H29" s="176" t="s">
        <v>166</v>
      </c>
      <c r="I29" s="128">
        <f>VLOOKUP($C$29,TS3L2_ALL,10,FALSE)</f>
        <v>0</v>
      </c>
      <c r="J29" s="128">
        <f>VLOOKUP($C$29,TS3L2_ALL,11,FALSE)</f>
        <v>0</v>
      </c>
      <c r="K29" s="128" t="str">
        <f>VLOOKUP($C29,TS3L2_ALL,12,FALSE)</f>
        <v/>
      </c>
    </row>
    <row r="30" spans="1:11" ht="15.75" customHeight="1" thickTop="1" x14ac:dyDescent="0.25">
      <c r="A30" s="56"/>
      <c r="B30" s="56"/>
      <c r="C30" s="195"/>
      <c r="D30" s="56"/>
      <c r="E30" s="194"/>
      <c r="F30" s="124"/>
      <c r="G30" s="119"/>
      <c r="H30" s="231" t="s">
        <v>259</v>
      </c>
      <c r="I30" s="121"/>
      <c r="J30" s="120"/>
      <c r="K30" s="120"/>
    </row>
    <row r="31" spans="1:11" x14ac:dyDescent="0.25">
      <c r="A31" s="56"/>
      <c r="B31" s="56"/>
      <c r="C31" s="234" t="s">
        <v>396</v>
      </c>
      <c r="D31" s="56"/>
      <c r="E31" s="151" t="s">
        <v>394</v>
      </c>
      <c r="F31" s="151" t="s">
        <v>395</v>
      </c>
      <c r="G31" s="119"/>
      <c r="H31" s="232"/>
      <c r="I31" s="121"/>
      <c r="J31" s="120"/>
      <c r="K31" s="120"/>
    </row>
    <row r="32" spans="1:11" x14ac:dyDescent="0.25">
      <c r="A32" s="56"/>
      <c r="B32" s="56"/>
      <c r="C32" s="234"/>
      <c r="D32" s="56"/>
      <c r="E32" s="152">
        <f>F34+F36+F38+F40+F42</f>
        <v>2</v>
      </c>
      <c r="F32" s="152">
        <f>16-E32</f>
        <v>14</v>
      </c>
      <c r="G32" s="119"/>
      <c r="H32" s="232"/>
      <c r="I32" s="121"/>
      <c r="J32" s="120"/>
      <c r="K32" s="120"/>
    </row>
    <row r="33" spans="1:11" ht="15.75" customHeight="1" thickBot="1" x14ac:dyDescent="0.3">
      <c r="A33" s="56"/>
      <c r="B33" s="56"/>
      <c r="C33" s="194"/>
      <c r="D33" s="56"/>
      <c r="E33" s="194"/>
      <c r="F33" s="124"/>
      <c r="G33" s="119"/>
      <c r="H33" s="232"/>
      <c r="I33" s="121"/>
      <c r="J33" s="120"/>
      <c r="K33" s="120"/>
    </row>
    <row r="34" spans="1:11" ht="16.5" customHeight="1" thickTop="1" thickBot="1" x14ac:dyDescent="0.25">
      <c r="A34" s="56"/>
      <c r="B34" s="56"/>
      <c r="C34" s="197" t="s">
        <v>620</v>
      </c>
      <c r="D34" s="56"/>
      <c r="E34" s="206" t="str">
        <f>VLOOKUP($C34,TS3L2_HDD,13,FALSE)</f>
        <v>TS3L2-HDD2TB</v>
      </c>
      <c r="F34" s="207"/>
      <c r="G34" s="119"/>
      <c r="H34" s="232"/>
      <c r="I34" s="175">
        <f>VLOOKUP($C34,TS3L2_HDD,10,FALSE)*F34</f>
        <v>0</v>
      </c>
      <c r="J34" s="128">
        <f>VLOOKUP($C34,TS3L2_HDD,11,FALSE)</f>
        <v>0</v>
      </c>
      <c r="K34" s="128" t="str">
        <f>VLOOKUP($C34,TS3L2_ALL,12,FALSE)</f>
        <v>L2N05</v>
      </c>
    </row>
    <row r="35" spans="1:11" ht="15.75" customHeight="1" thickTop="1" thickBot="1" x14ac:dyDescent="0.3">
      <c r="A35" s="56"/>
      <c r="B35" s="56"/>
      <c r="C35" s="194"/>
      <c r="D35" s="56"/>
      <c r="E35" s="194"/>
      <c r="F35" s="124"/>
      <c r="G35" s="119"/>
      <c r="H35" s="232"/>
      <c r="I35" s="121"/>
      <c r="J35" s="120"/>
      <c r="K35" s="120"/>
    </row>
    <row r="36" spans="1:11" ht="16.5" customHeight="1" thickTop="1" thickBot="1" x14ac:dyDescent="0.25">
      <c r="A36" s="56"/>
      <c r="B36" s="56"/>
      <c r="C36" s="197" t="str">
        <f>ConfigurationTS3L2!A44</f>
        <v>1.2TB 10K RPM SAS 12Gbps 2.5in Hot-plug</v>
      </c>
      <c r="D36" s="56"/>
      <c r="E36" s="206" t="str">
        <f>VLOOKUP($C36,TS3L2_HDD,13,FALSE)</f>
        <v>TS3L2-HDD1TB</v>
      </c>
      <c r="F36" s="207"/>
      <c r="G36" s="119"/>
      <c r="H36" s="232"/>
      <c r="I36" s="175">
        <f>VLOOKUP($C36,TS3L2_HDD,10,FALSE)*F36</f>
        <v>0</v>
      </c>
      <c r="J36" s="128">
        <f>VLOOKUP($C36,TS3L2_HDD,11,FALSE)</f>
        <v>0</v>
      </c>
      <c r="K36" s="128" t="str">
        <f>VLOOKUP($C36,TS3L2_ALL,12,FALSE)</f>
        <v>L2N06</v>
      </c>
    </row>
    <row r="37" spans="1:11" ht="15.75" customHeight="1" thickTop="1" thickBot="1" x14ac:dyDescent="0.3">
      <c r="A37" s="56"/>
      <c r="B37" s="56"/>
      <c r="C37" s="194"/>
      <c r="D37" s="56"/>
      <c r="E37" s="194"/>
      <c r="F37" s="124"/>
      <c r="G37" s="119"/>
      <c r="H37" s="232"/>
      <c r="I37" s="121"/>
      <c r="J37" s="120"/>
      <c r="K37" s="120"/>
    </row>
    <row r="38" spans="1:11" ht="16.5" customHeight="1" thickTop="1" thickBot="1" x14ac:dyDescent="0.25">
      <c r="A38" s="56"/>
      <c r="B38" s="56"/>
      <c r="C38" s="197" t="str">
        <f>ConfigurationTS3L2!A45</f>
        <v>300GB 15K RPM SAS 12Gbps 2.5in Hot-plug</v>
      </c>
      <c r="D38" s="56"/>
      <c r="E38" s="206" t="str">
        <f>VLOOKUP($C38,TS3L2_HDD,13,FALSE)</f>
        <v>TS3L2-HDD300GB</v>
      </c>
      <c r="F38" s="207"/>
      <c r="G38" s="119"/>
      <c r="H38" s="232"/>
      <c r="I38" s="175">
        <f>VLOOKUP($C38,TS3L2_HDD,10,FALSE)*F38</f>
        <v>0</v>
      </c>
      <c r="J38" s="128">
        <f>VLOOKUP($C38,TS3L2_HDD,11,FALSE)</f>
        <v>0</v>
      </c>
      <c r="K38" s="128" t="str">
        <f>VLOOKUP($C38,TS3L2_ALL,12,FALSE)</f>
        <v>L2N07</v>
      </c>
    </row>
    <row r="39" spans="1:11" ht="15.75" customHeight="1" thickTop="1" thickBot="1" x14ac:dyDescent="0.3">
      <c r="A39" s="56"/>
      <c r="B39" s="56"/>
      <c r="C39" s="194"/>
      <c r="D39" s="56"/>
      <c r="E39" s="194"/>
      <c r="F39" s="124"/>
      <c r="G39" s="119"/>
      <c r="H39" s="232"/>
      <c r="I39" s="121"/>
      <c r="J39" s="120"/>
      <c r="K39" s="120"/>
    </row>
    <row r="40" spans="1:11" ht="16.5" customHeight="1" thickTop="1" thickBot="1" x14ac:dyDescent="0.25">
      <c r="A40" s="56"/>
      <c r="B40" s="56"/>
      <c r="C40" s="197" t="str">
        <f>ConfigurationTS3L2!A46</f>
        <v>960GB SSD SAS Read Intensive 12Gbps 2.5in Hot-plug</v>
      </c>
      <c r="D40" s="56"/>
      <c r="E40" s="206" t="str">
        <f>VLOOKUP($C40,TS3L2_HDD,13,FALSE)</f>
        <v>TS3L2-RI800GB</v>
      </c>
      <c r="F40" s="207">
        <v>2</v>
      </c>
      <c r="G40" s="119"/>
      <c r="H40" s="233"/>
      <c r="I40" s="128">
        <f>IF(F40&gt;2,(VLOOKUP($C40,TS3L2_HDD,10,FALSE)*(F40-2)),0)</f>
        <v>0</v>
      </c>
      <c r="J40" s="128">
        <f>VLOOKUP($C40,TS3L2_HDD,11,FALSE)</f>
        <v>0</v>
      </c>
      <c r="K40" s="128" t="str">
        <f>VLOOKUP($C40,TS3L2_ALL,12,FALSE)</f>
        <v>L2N08</v>
      </c>
    </row>
    <row r="41" spans="1:11" ht="15.75" customHeight="1" thickTop="1" x14ac:dyDescent="0.25">
      <c r="A41" s="56"/>
      <c r="B41" s="56"/>
      <c r="C41" s="194"/>
      <c r="D41" s="56"/>
      <c r="E41" s="194"/>
      <c r="F41" s="124"/>
      <c r="G41" s="119"/>
      <c r="H41" s="119"/>
      <c r="I41" s="121"/>
      <c r="J41" s="120"/>
      <c r="K41" s="120"/>
    </row>
    <row r="42" spans="1:11" ht="16.5" hidden="1" customHeight="1" thickTop="1" thickBot="1" x14ac:dyDescent="0.25">
      <c r="A42" s="56"/>
      <c r="B42" s="56"/>
      <c r="C42" s="197" t="str">
        <f>ConfigurationTS3L2!A47</f>
        <v>480GB SSD SAS Read Intensive 12Gbps 2.5in Hot-plug</v>
      </c>
      <c r="D42" s="56"/>
      <c r="E42" s="206" t="str">
        <f>VLOOKUP($C42,TS3L2_HDD,13,FALSE)</f>
        <v>TS3L2-RI400GB</v>
      </c>
      <c r="F42" s="207"/>
      <c r="G42" s="119"/>
      <c r="H42" s="119"/>
      <c r="I42" s="128">
        <f>IF(F42&gt;2,VLOOKUP($C42,TS3L2_HDD,10,FALSE)*(F42-2),0)</f>
        <v>0</v>
      </c>
      <c r="J42" s="128">
        <f>VLOOKUP($C42,TS3L2_HDD,11,FALSE)</f>
        <v>0</v>
      </c>
      <c r="K42" s="128" t="str">
        <f>VLOOKUP($C42,TS3L2_ALL,12,FALSE)</f>
        <v>L2N09</v>
      </c>
    </row>
    <row r="43" spans="1:11" ht="15.75" hidden="1" customHeight="1" thickTop="1" x14ac:dyDescent="0.25">
      <c r="A43" s="56"/>
      <c r="B43" s="56"/>
      <c r="C43" s="194"/>
      <c r="D43" s="56"/>
      <c r="E43" s="194"/>
      <c r="F43" s="124"/>
      <c r="G43" s="119"/>
      <c r="H43" s="119"/>
      <c r="I43" s="121"/>
      <c r="J43" s="120"/>
      <c r="K43" s="120"/>
    </row>
    <row r="44" spans="1:11" ht="15.75" customHeight="1" x14ac:dyDescent="0.25">
      <c r="A44" s="56"/>
      <c r="B44" s="56"/>
      <c r="C44" s="122" t="s">
        <v>8</v>
      </c>
      <c r="D44" s="56"/>
      <c r="E44" s="194"/>
      <c r="F44" s="194"/>
      <c r="G44" s="119"/>
      <c r="H44" s="119"/>
      <c r="I44" s="120"/>
      <c r="J44" s="120"/>
      <c r="K44" s="120"/>
    </row>
    <row r="45" spans="1:11" ht="16.5" customHeight="1" x14ac:dyDescent="0.25">
      <c r="A45" s="125"/>
      <c r="B45" s="56"/>
      <c r="C45" s="208" t="s">
        <v>399</v>
      </c>
      <c r="D45" s="56"/>
      <c r="E45" s="194"/>
      <c r="F45" s="194"/>
      <c r="G45" s="119"/>
      <c r="H45" s="119"/>
      <c r="I45" s="120"/>
      <c r="J45" s="120"/>
      <c r="K45" s="120"/>
    </row>
    <row r="46" spans="1:11" ht="15.75" customHeight="1" x14ac:dyDescent="0.25">
      <c r="A46" s="56"/>
      <c r="B46" s="56"/>
      <c r="C46" s="194"/>
      <c r="D46" s="56"/>
      <c r="E46" s="194"/>
      <c r="F46" s="124"/>
      <c r="G46" s="119"/>
      <c r="H46" s="119"/>
      <c r="I46" s="121"/>
      <c r="J46" s="120"/>
      <c r="K46" s="120"/>
    </row>
    <row r="47" spans="1:11" ht="15.75" customHeight="1" x14ac:dyDescent="0.25">
      <c r="A47" s="56"/>
      <c r="B47" s="56"/>
      <c r="C47" s="122" t="s">
        <v>149</v>
      </c>
      <c r="D47" s="230" t="str">
        <f>HYPERLINK("https://convenzioni.converge.it/docs/ts3_datasheet/idrac-spec-sheet.pdf","i")</f>
        <v>i</v>
      </c>
      <c r="E47" s="194"/>
      <c r="F47" s="124"/>
      <c r="G47" s="119"/>
      <c r="H47" s="119"/>
      <c r="I47" s="120"/>
      <c r="J47" s="120"/>
      <c r="K47" s="120"/>
    </row>
    <row r="48" spans="1:11" ht="16.5" customHeight="1" x14ac:dyDescent="0.25">
      <c r="A48" s="56"/>
      <c r="B48" s="56"/>
      <c r="C48" s="198" t="s">
        <v>150</v>
      </c>
      <c r="D48" s="230"/>
      <c r="E48" s="194"/>
      <c r="F48" s="124"/>
      <c r="G48" s="119"/>
      <c r="H48" s="119"/>
      <c r="I48" s="121"/>
      <c r="J48" s="120"/>
      <c r="K48" s="120"/>
    </row>
    <row r="49" spans="1:11" ht="15.75" customHeight="1" x14ac:dyDescent="0.25">
      <c r="A49" s="56"/>
      <c r="B49" s="56"/>
      <c r="C49" s="194"/>
      <c r="D49" s="56"/>
      <c r="E49" s="194"/>
      <c r="F49" s="124"/>
      <c r="G49" s="119"/>
      <c r="H49" s="119"/>
      <c r="I49" s="120"/>
      <c r="J49" s="120"/>
      <c r="K49" s="120"/>
    </row>
    <row r="50" spans="1:11" ht="15.75" customHeight="1" x14ac:dyDescent="0.25">
      <c r="A50" s="56"/>
      <c r="B50" s="56"/>
      <c r="C50" s="122" t="s">
        <v>151</v>
      </c>
      <c r="D50" s="56"/>
      <c r="E50" s="194"/>
      <c r="F50" s="124"/>
      <c r="G50" s="119"/>
      <c r="H50" s="119"/>
      <c r="I50" s="121"/>
      <c r="J50" s="120"/>
      <c r="K50" s="120"/>
    </row>
    <row r="51" spans="1:11" ht="16.5" customHeight="1" x14ac:dyDescent="0.25">
      <c r="A51" s="56"/>
      <c r="B51" s="56"/>
      <c r="C51" s="208" t="s">
        <v>400</v>
      </c>
      <c r="D51" s="56"/>
      <c r="E51" s="194"/>
      <c r="F51" s="124"/>
      <c r="G51" s="119"/>
      <c r="H51" s="119"/>
      <c r="I51" s="120"/>
      <c r="J51" s="120"/>
      <c r="K51" s="120"/>
    </row>
    <row r="52" spans="1:11" ht="15.75" customHeight="1" x14ac:dyDescent="0.25">
      <c r="A52" s="56"/>
      <c r="B52" s="56"/>
      <c r="C52" s="202"/>
      <c r="D52" s="56"/>
      <c r="E52" s="194"/>
      <c r="F52" s="124"/>
      <c r="G52" s="119"/>
      <c r="H52" s="119"/>
      <c r="I52" s="121"/>
      <c r="J52" s="120"/>
      <c r="K52" s="120"/>
    </row>
    <row r="53" spans="1:11" ht="15.75" customHeight="1" thickBot="1" x14ac:dyDescent="0.3">
      <c r="A53" s="56"/>
      <c r="B53" s="56"/>
      <c r="C53" s="209" t="s">
        <v>513</v>
      </c>
      <c r="D53" s="56"/>
      <c r="E53" s="194"/>
      <c r="F53" s="124"/>
      <c r="G53" s="119"/>
      <c r="H53" s="119"/>
      <c r="I53" s="120"/>
      <c r="J53" s="120"/>
      <c r="K53" s="120"/>
    </row>
    <row r="54" spans="1:11" ht="16.5" customHeight="1" thickTop="1" thickBot="1" x14ac:dyDescent="0.25">
      <c r="A54" s="56"/>
      <c r="B54" s="56"/>
      <c r="C54" s="210" t="s">
        <v>155</v>
      </c>
      <c r="D54" s="56"/>
      <c r="E54" s="151" t="str">
        <f>VLOOKUP($C54,TS3L2_PCI1,13,FALSE)</f>
        <v/>
      </c>
      <c r="F54" s="151" t="str">
        <f>VLOOKUP($C54,TS3L2_PCI1,7,FALSE)</f>
        <v/>
      </c>
      <c r="G54" s="119"/>
      <c r="H54" s="119"/>
      <c r="I54" s="128">
        <f>VLOOKUP($C54,TS3L2_PCI1,10,FALSE)</f>
        <v>0</v>
      </c>
      <c r="J54" s="128">
        <f>VLOOKUP($C54,TS3L2_PCI1,11,FALSE)</f>
        <v>0</v>
      </c>
      <c r="K54" s="128" t="str">
        <f>VLOOKUP($C54,TS3L2_ALL,12,FALSE)</f>
        <v/>
      </c>
    </row>
    <row r="55" spans="1:11" ht="15.75" customHeight="1" thickTop="1" x14ac:dyDescent="0.25">
      <c r="A55" s="56"/>
      <c r="B55" s="56"/>
      <c r="D55" s="56"/>
      <c r="E55" s="124"/>
      <c r="F55" s="124"/>
      <c r="G55" s="119"/>
      <c r="H55" s="119"/>
      <c r="I55" s="121"/>
      <c r="J55" s="120"/>
      <c r="K55" s="120"/>
    </row>
    <row r="56" spans="1:11" ht="15.75" customHeight="1" thickBot="1" x14ac:dyDescent="0.3">
      <c r="A56" s="56"/>
      <c r="B56" s="56"/>
      <c r="C56" s="209" t="s">
        <v>402</v>
      </c>
      <c r="D56" s="56"/>
      <c r="E56" s="124"/>
      <c r="F56" s="124"/>
      <c r="G56" s="119"/>
      <c r="H56" s="119"/>
      <c r="I56" s="120"/>
      <c r="J56" s="120"/>
      <c r="K56" s="120"/>
    </row>
    <row r="57" spans="1:11" ht="16.5" customHeight="1" thickTop="1" thickBot="1" x14ac:dyDescent="0.25">
      <c r="A57" s="56"/>
      <c r="B57" s="56"/>
      <c r="C57" s="210" t="s">
        <v>155</v>
      </c>
      <c r="D57" s="56"/>
      <c r="E57" s="151" t="str">
        <f>VLOOKUP($C57,TS3L2_PCI2,13,FALSE)</f>
        <v/>
      </c>
      <c r="F57" s="151" t="str">
        <f>VLOOKUP($C57,TS3L2_PCI2,7,FALSE)</f>
        <v/>
      </c>
      <c r="G57" s="119"/>
      <c r="H57" s="119"/>
      <c r="I57" s="128">
        <f>VLOOKUP($C57,TS3L2_PCI2,10,FALSE)</f>
        <v>0</v>
      </c>
      <c r="J57" s="128">
        <f>VLOOKUP($C57,TS3L2_PCI2,11,FALSE)</f>
        <v>0</v>
      </c>
      <c r="K57" s="128" t="str">
        <f>VLOOKUP($C57,TS3L2_ALL,12,FALSE)</f>
        <v/>
      </c>
    </row>
    <row r="58" spans="1:11" ht="15.75" customHeight="1" thickTop="1" x14ac:dyDescent="0.25">
      <c r="A58" s="56"/>
      <c r="B58" s="56"/>
      <c r="D58" s="56"/>
      <c r="E58" s="124"/>
      <c r="F58" s="124"/>
      <c r="G58" s="119"/>
      <c r="H58" s="119"/>
      <c r="I58" s="121"/>
      <c r="J58" s="120"/>
      <c r="K58" s="120"/>
    </row>
    <row r="59" spans="1:11" ht="15.75" customHeight="1" thickBot="1" x14ac:dyDescent="0.3">
      <c r="A59" s="56"/>
      <c r="B59" s="56"/>
      <c r="C59" s="209" t="s">
        <v>403</v>
      </c>
      <c r="D59" s="56"/>
      <c r="E59" s="124"/>
      <c r="F59" s="124"/>
      <c r="G59" s="119"/>
      <c r="H59" s="119"/>
      <c r="I59" s="120"/>
      <c r="J59" s="120"/>
      <c r="K59" s="120"/>
    </row>
    <row r="60" spans="1:11" ht="16.5" customHeight="1" thickTop="1" thickBot="1" x14ac:dyDescent="0.25">
      <c r="A60" s="56"/>
      <c r="B60" s="56"/>
      <c r="C60" s="210" t="s">
        <v>155</v>
      </c>
      <c r="D60" s="56"/>
      <c r="E60" s="151" t="str">
        <f>VLOOKUP($C60,TS3L2_PCI3,13,FALSE)</f>
        <v/>
      </c>
      <c r="F60" s="151" t="str">
        <f>VLOOKUP($C60,TS3L2_PCI3,7,FALSE)</f>
        <v/>
      </c>
      <c r="G60" s="119"/>
      <c r="H60" s="119"/>
      <c r="I60" s="128">
        <f>VLOOKUP($C60,TS3L2_PCI3,10,FALSE)</f>
        <v>0</v>
      </c>
      <c r="J60" s="128">
        <f>VLOOKUP($C60,TS3L2_PCI3,11,FALSE)</f>
        <v>0</v>
      </c>
      <c r="K60" s="128" t="str">
        <f>VLOOKUP($C60,TS3L2_ALL,12,FALSE)</f>
        <v/>
      </c>
    </row>
    <row r="61" spans="1:11" ht="15.75" customHeight="1" thickTop="1" x14ac:dyDescent="0.25">
      <c r="A61" s="56"/>
      <c r="B61" s="56"/>
      <c r="D61" s="56"/>
      <c r="E61" s="124"/>
      <c r="F61" s="124"/>
      <c r="G61" s="119"/>
      <c r="H61" s="119"/>
      <c r="I61" s="121"/>
      <c r="J61" s="120"/>
      <c r="K61" s="120"/>
    </row>
    <row r="62" spans="1:11" ht="15.75" customHeight="1" thickBot="1" x14ac:dyDescent="0.3">
      <c r="A62" s="56"/>
      <c r="B62" s="56"/>
      <c r="C62" s="209" t="s">
        <v>407</v>
      </c>
      <c r="D62" s="56"/>
      <c r="E62" s="124"/>
      <c r="F62" s="124"/>
      <c r="G62" s="119"/>
      <c r="H62" s="119"/>
      <c r="I62" s="120"/>
      <c r="J62" s="120"/>
      <c r="K62" s="120"/>
    </row>
    <row r="63" spans="1:11" ht="16.5" customHeight="1" thickTop="1" thickBot="1" x14ac:dyDescent="0.25">
      <c r="A63" s="56"/>
      <c r="B63" s="56"/>
      <c r="C63" s="210" t="s">
        <v>155</v>
      </c>
      <c r="D63" s="56"/>
      <c r="E63" s="151" t="str">
        <f>IF($I$20&gt;0,VLOOKUP($C63,TS3L2_PCI4,13,FALSE),"")</f>
        <v/>
      </c>
      <c r="F63" s="151" t="str">
        <f>IF($I$20&gt;0,VLOOKUP($C63,TS3L2_PCI4,7,FALSE),"")</f>
        <v/>
      </c>
      <c r="G63" s="119"/>
      <c r="H63" s="119"/>
      <c r="I63" s="128">
        <f>IF($I$20&gt;0,VLOOKUP($C63,TS3L2_PCI4,10,FALSE),0)</f>
        <v>0</v>
      </c>
      <c r="J63" s="128">
        <f>IF($I$20&gt;0,VLOOKUP($C63,TS3L2_PCI4,11,FALSE),0)</f>
        <v>0</v>
      </c>
      <c r="K63" s="128">
        <f>IF($I$20&gt;0,VLOOKUP($C63,TS3L2_ALL,12,FALSE),0)</f>
        <v>0</v>
      </c>
    </row>
    <row r="64" spans="1:11" ht="15.75" customHeight="1" thickTop="1" x14ac:dyDescent="0.25">
      <c r="A64" s="56"/>
      <c r="B64" s="56"/>
      <c r="C64" s="211"/>
      <c r="D64" s="56"/>
      <c r="E64" s="124"/>
      <c r="F64" s="124"/>
      <c r="G64" s="119"/>
      <c r="H64" s="119"/>
      <c r="I64" s="121"/>
      <c r="J64" s="120"/>
      <c r="K64" s="120"/>
    </row>
    <row r="65" spans="1:11" ht="15.75" customHeight="1" thickBot="1" x14ac:dyDescent="0.3">
      <c r="A65" s="56"/>
      <c r="B65" s="56"/>
      <c r="C65" s="209" t="s">
        <v>404</v>
      </c>
      <c r="D65" s="56"/>
      <c r="E65" s="124"/>
      <c r="F65" s="124"/>
      <c r="G65" s="119"/>
      <c r="H65" s="119"/>
      <c r="I65" s="120"/>
      <c r="J65" s="120"/>
      <c r="K65" s="120"/>
    </row>
    <row r="66" spans="1:11" ht="16.5" customHeight="1" thickTop="1" thickBot="1" x14ac:dyDescent="0.25">
      <c r="A66" s="56"/>
      <c r="B66" s="56"/>
      <c r="C66" s="210" t="s">
        <v>155</v>
      </c>
      <c r="D66" s="56"/>
      <c r="E66" s="151" t="str">
        <f>IF($I$20&gt;0,VLOOKUP($C66,TS3L2_PCI5,13,FALSE),"")</f>
        <v/>
      </c>
      <c r="F66" s="151" t="str">
        <f>IF($I$20&gt;0,VLOOKUP($C66,TS3L2_PCI5,7,FALSE),"")</f>
        <v/>
      </c>
      <c r="G66" s="119"/>
      <c r="H66" s="119"/>
      <c r="I66" s="128">
        <f>IF($I$20&gt;0,VLOOKUP($C66,TS3L2_PCI5,10,FALSE),0)</f>
        <v>0</v>
      </c>
      <c r="J66" s="128">
        <f>IF($I$20&gt;0,VLOOKUP($C66,TS3L2_PCI5,11,FALSE),0)</f>
        <v>0</v>
      </c>
      <c r="K66" s="128">
        <f>IF($I$20&gt;0,VLOOKUP($C66,TS3L2_ALL,12,FALSE),0)</f>
        <v>0</v>
      </c>
    </row>
    <row r="67" spans="1:11" ht="15.75" customHeight="1" thickTop="1" x14ac:dyDescent="0.25">
      <c r="A67" s="56"/>
      <c r="B67" s="56"/>
      <c r="D67" s="56"/>
      <c r="E67" s="124"/>
      <c r="F67" s="124"/>
      <c r="G67" s="119"/>
      <c r="H67" s="119"/>
      <c r="I67" s="121"/>
      <c r="J67" s="120"/>
      <c r="K67" s="120"/>
    </row>
    <row r="68" spans="1:11" ht="15.75" customHeight="1" thickBot="1" x14ac:dyDescent="0.3">
      <c r="A68" s="56"/>
      <c r="B68" s="56"/>
      <c r="C68" s="209" t="s">
        <v>405</v>
      </c>
      <c r="D68" s="56"/>
      <c r="E68" s="124"/>
      <c r="F68" s="124"/>
      <c r="G68" s="119"/>
      <c r="H68" s="119"/>
      <c r="I68" s="120"/>
      <c r="J68" s="120"/>
      <c r="K68" s="120"/>
    </row>
    <row r="69" spans="1:11" ht="16.5" customHeight="1" thickTop="1" thickBot="1" x14ac:dyDescent="0.25">
      <c r="A69" s="56"/>
      <c r="B69" s="56"/>
      <c r="C69" s="210" t="s">
        <v>155</v>
      </c>
      <c r="D69" s="56"/>
      <c r="E69" s="151" t="str">
        <f>IF($I$20&gt;0,VLOOKUP($C69,TS3L2_PCI6,13,FALSE),"")</f>
        <v/>
      </c>
      <c r="F69" s="151" t="str">
        <f>IF($I$20&gt;0,VLOOKUP($C69,TS3L2_PCI6,7,FALSE),"")</f>
        <v/>
      </c>
      <c r="G69" s="119"/>
      <c r="H69" s="119"/>
      <c r="I69" s="128">
        <f>IF($I$20&gt;0,VLOOKUP($C69,TS3L2_PCI6,10,FALSE),0)</f>
        <v>0</v>
      </c>
      <c r="J69" s="128">
        <f>IF($I$20&gt;0,VLOOKUP($C69,TS3L2_PCI6,11,FALSE),0)</f>
        <v>0</v>
      </c>
      <c r="K69" s="128">
        <f>IF($I$20&gt;0,VLOOKUP($C69,TS3L2_ALL,12,FALSE),0)</f>
        <v>0</v>
      </c>
    </row>
    <row r="70" spans="1:11" ht="15.75" customHeight="1" thickTop="1" x14ac:dyDescent="0.25">
      <c r="A70" s="56"/>
      <c r="B70" s="56"/>
      <c r="D70" s="56"/>
      <c r="E70" s="124"/>
      <c r="F70" s="124"/>
      <c r="G70" s="119"/>
      <c r="H70" s="119"/>
      <c r="I70" s="121"/>
      <c r="J70" s="120"/>
      <c r="K70" s="120"/>
    </row>
    <row r="71" spans="1:11" ht="15.75" customHeight="1" thickBot="1" x14ac:dyDescent="0.3">
      <c r="A71" s="56"/>
      <c r="B71" s="56"/>
      <c r="C71" s="209" t="s">
        <v>401</v>
      </c>
      <c r="D71" s="56"/>
      <c r="E71" s="124"/>
      <c r="F71" s="124"/>
      <c r="G71" s="119"/>
      <c r="H71" s="119"/>
      <c r="I71" s="120"/>
      <c r="J71" s="120"/>
      <c r="K71" s="120"/>
    </row>
    <row r="72" spans="1:11" ht="16.5" customHeight="1" thickTop="1" thickBot="1" x14ac:dyDescent="0.25">
      <c r="A72" s="56"/>
      <c r="B72" s="56"/>
      <c r="C72" s="210" t="s">
        <v>155</v>
      </c>
      <c r="D72" s="56"/>
      <c r="E72" s="151" t="str">
        <f>IF($I$20&gt;0,VLOOKUP($C72,TS3L2_PCI7,13,FALSE),"")</f>
        <v/>
      </c>
      <c r="F72" s="151" t="str">
        <f>IF($I$20&gt;0,VLOOKUP($C72,TS3L2_PCI7,7,FALSE),"")</f>
        <v/>
      </c>
      <c r="G72" s="119"/>
      <c r="H72" s="119"/>
      <c r="I72" s="128">
        <f>IF($I$20&gt;0,VLOOKUP($C72,TS3L2_PCI7,10,FALSE),0)</f>
        <v>0</v>
      </c>
      <c r="J72" s="128">
        <f>IF($I$20&gt;0,VLOOKUP($C72,TS3L2_PCI7,11,FALSE),0)</f>
        <v>0</v>
      </c>
      <c r="K72" s="128">
        <f>IF($I$20&gt;0,VLOOKUP($C72,TS3L2_ALL,12,FALSE),0)</f>
        <v>0</v>
      </c>
    </row>
    <row r="73" spans="1:11" ht="15.75" customHeight="1" thickTop="1" x14ac:dyDescent="0.25">
      <c r="A73" s="56"/>
      <c r="B73" s="56"/>
      <c r="D73" s="56"/>
      <c r="E73" s="124"/>
      <c r="F73" s="124"/>
      <c r="G73" s="119"/>
      <c r="H73" s="119"/>
      <c r="I73" s="121"/>
      <c r="J73" s="120"/>
      <c r="K73" s="120"/>
    </row>
    <row r="74" spans="1:11" ht="15.75" customHeight="1" thickBot="1" x14ac:dyDescent="0.3">
      <c r="A74" s="56"/>
      <c r="B74" s="56"/>
      <c r="C74" s="209" t="s">
        <v>406</v>
      </c>
      <c r="D74" s="56"/>
      <c r="E74" s="124"/>
      <c r="F74" s="124"/>
      <c r="G74" s="119"/>
      <c r="H74" s="119"/>
      <c r="I74" s="120"/>
      <c r="J74" s="120"/>
      <c r="K74" s="120"/>
    </row>
    <row r="75" spans="1:11" ht="16.5" customHeight="1" thickTop="1" thickBot="1" x14ac:dyDescent="0.25">
      <c r="A75" s="56"/>
      <c r="B75" s="56"/>
      <c r="C75" s="210" t="s">
        <v>155</v>
      </c>
      <c r="D75" s="56"/>
      <c r="E75" s="151" t="str">
        <f>IF($I$20&gt;0,VLOOKUP($C75,TS3L2_PCI8,13,FALSE),"")</f>
        <v/>
      </c>
      <c r="F75" s="151" t="str">
        <f>IF($I$20&gt;0,VLOOKUP($C75,TS3L2_PCI8,7,FALSE),"")</f>
        <v/>
      </c>
      <c r="G75" s="119"/>
      <c r="H75" s="119"/>
      <c r="I75" s="128">
        <f>IF($I$20&gt;0,VLOOKUP($C75,TS3L2_PCI8,10,FALSE),0)</f>
        <v>0</v>
      </c>
      <c r="J75" s="128">
        <f>IF($I$20&gt;0,VLOOKUP($C75,TS3L2_PCI8,11,FALSE),0)</f>
        <v>0</v>
      </c>
      <c r="K75" s="128">
        <f>IF(I$20&gt;0,VLOOKUP($C75,TS3L2_ALL,12,FALSE),0)</f>
        <v>0</v>
      </c>
    </row>
    <row r="76" spans="1:11" ht="15.75" customHeight="1" thickTop="1" x14ac:dyDescent="0.25">
      <c r="A76" s="56"/>
      <c r="B76" s="56"/>
      <c r="C76" s="211"/>
      <c r="D76" s="56"/>
      <c r="E76" s="194"/>
      <c r="F76" s="124"/>
      <c r="G76" s="119"/>
      <c r="H76" s="119"/>
      <c r="I76" s="121"/>
      <c r="J76" s="120"/>
      <c r="K76" s="120"/>
    </row>
    <row r="77" spans="1:11" hidden="1" x14ac:dyDescent="0.25">
      <c r="A77" s="56"/>
      <c r="B77" s="56"/>
      <c r="C77" s="212" t="s">
        <v>558</v>
      </c>
      <c r="D77" s="56"/>
      <c r="E77" s="194"/>
      <c r="F77" s="124"/>
      <c r="G77" s="119"/>
      <c r="H77" s="119"/>
      <c r="I77" s="121"/>
      <c r="J77" s="120"/>
      <c r="K77" s="120"/>
    </row>
    <row r="78" spans="1:11" ht="14.25" hidden="1" thickTop="1" thickBot="1" x14ac:dyDescent="0.25">
      <c r="A78" s="56"/>
      <c r="B78" s="56"/>
      <c r="C78" s="213" t="s">
        <v>532</v>
      </c>
      <c r="D78" s="56"/>
      <c r="E78" s="206" t="str">
        <f>IF(J78&gt;0,VLOOKUP($C78,ConfigurationTS3L2!$A$1:$M$4993,13,FALSE),"")</f>
        <v/>
      </c>
      <c r="F78" s="207"/>
      <c r="G78" s="119"/>
      <c r="H78" s="119"/>
      <c r="I78" s="128">
        <v>0</v>
      </c>
      <c r="J78" s="128">
        <f>F78*ConfigurationTS3L2!K121</f>
        <v>0</v>
      </c>
      <c r="K78" s="128">
        <f>IF(F78&gt;0,VLOOKUP($C78,TS3L2_ALL,12,FALSE),0)</f>
        <v>0</v>
      </c>
    </row>
    <row r="79" spans="1:11" hidden="1" x14ac:dyDescent="0.25">
      <c r="A79" s="56"/>
      <c r="B79" s="56"/>
      <c r="C79" s="211"/>
      <c r="D79" s="56"/>
      <c r="E79" s="194"/>
      <c r="F79" s="124"/>
      <c r="G79" s="119"/>
      <c r="H79" s="119"/>
      <c r="I79" s="121"/>
      <c r="J79" s="120"/>
      <c r="K79" s="120"/>
    </row>
    <row r="80" spans="1:11" hidden="1" x14ac:dyDescent="0.25">
      <c r="A80" s="56"/>
      <c r="B80" s="56"/>
      <c r="C80" s="212" t="s">
        <v>559</v>
      </c>
      <c r="D80" s="56"/>
      <c r="E80" s="194"/>
      <c r="F80" s="124"/>
      <c r="G80" s="119"/>
      <c r="H80" s="119"/>
      <c r="I80" s="121"/>
      <c r="J80" s="120"/>
      <c r="K80" s="120"/>
    </row>
    <row r="81" spans="1:17" ht="14.25" hidden="1" thickTop="1" thickBot="1" x14ac:dyDescent="0.25">
      <c r="A81" s="56"/>
      <c r="B81" s="56"/>
      <c r="C81" s="213" t="s">
        <v>496</v>
      </c>
      <c r="D81" s="56"/>
      <c r="E81" s="206" t="str">
        <f>IF(J81&gt;0,VLOOKUP($C81,ConfigurationTS3L2!$A$1:$M$4993,13,FALSE),"")</f>
        <v/>
      </c>
      <c r="F81" s="207"/>
      <c r="G81" s="119"/>
      <c r="H81" s="119"/>
      <c r="I81" s="128">
        <v>0</v>
      </c>
      <c r="J81" s="128">
        <f>F81*ConfigurationTS3L2!K120</f>
        <v>0</v>
      </c>
      <c r="K81" s="128">
        <f>IF(F81&gt;0,VLOOKUP($C81,TS3L2_ALL,12,FALSE),0)</f>
        <v>0</v>
      </c>
    </row>
    <row r="82" spans="1:17" hidden="1" x14ac:dyDescent="0.25">
      <c r="A82" s="56"/>
      <c r="B82" s="56"/>
      <c r="C82" s="211"/>
      <c r="D82" s="56"/>
      <c r="E82" s="194"/>
      <c r="F82" s="124"/>
      <c r="G82" s="119"/>
      <c r="H82" s="119"/>
      <c r="I82" s="121"/>
      <c r="J82" s="120"/>
      <c r="K82" s="120"/>
    </row>
    <row r="83" spans="1:17" ht="15.75" customHeight="1" thickBot="1" x14ac:dyDescent="0.3">
      <c r="A83" s="56"/>
      <c r="B83" s="56"/>
      <c r="C83" s="212" t="s">
        <v>167</v>
      </c>
      <c r="D83" s="56"/>
      <c r="E83" s="194"/>
      <c r="F83" s="124"/>
      <c r="G83" s="119"/>
      <c r="H83" s="119"/>
      <c r="I83" s="121"/>
      <c r="J83" s="120"/>
      <c r="K83" s="120"/>
    </row>
    <row r="84" spans="1:17" ht="16.5" customHeight="1" thickTop="1" thickBot="1" x14ac:dyDescent="0.25">
      <c r="A84" s="56"/>
      <c r="B84" s="56"/>
      <c r="C84" s="213" t="s">
        <v>275</v>
      </c>
      <c r="D84" s="56"/>
      <c r="E84" s="206" t="str">
        <f>IF(J84&gt;0,VLOOKUP($C84,ConfigurationTS3L2!$A$1:$M$4993,13,FALSE),"")</f>
        <v>TS3L2-RJ453M</v>
      </c>
      <c r="F84" s="207">
        <v>3</v>
      </c>
      <c r="G84" s="119"/>
      <c r="H84" s="119"/>
      <c r="I84" s="128">
        <v>0</v>
      </c>
      <c r="J84" s="128">
        <f>IF(F84&gt;1,(F84-1)*ConfigurationTS3L2!K119,0)</f>
        <v>6</v>
      </c>
      <c r="K84" s="128" t="str">
        <f>IF(F84&gt;0,VLOOKUP($C84,TS3L2_ALL,12,FALSE),0)</f>
        <v>L2N26</v>
      </c>
    </row>
    <row r="85" spans="1:17" ht="15.75" customHeight="1" thickTop="1" x14ac:dyDescent="0.25">
      <c r="A85" s="56"/>
      <c r="B85" s="56"/>
      <c r="C85" s="211"/>
      <c r="D85" s="56"/>
      <c r="E85" s="194"/>
      <c r="F85" s="124"/>
      <c r="G85" s="119"/>
      <c r="H85" s="119"/>
      <c r="I85" s="121"/>
      <c r="J85" s="120"/>
      <c r="K85" s="120"/>
    </row>
    <row r="86" spans="1:17" hidden="1" x14ac:dyDescent="0.25">
      <c r="A86" s="56"/>
      <c r="B86" s="56"/>
      <c r="C86" s="203" t="s">
        <v>113</v>
      </c>
      <c r="D86" s="56"/>
      <c r="E86" s="194"/>
      <c r="F86" s="124"/>
      <c r="G86" s="119"/>
      <c r="H86" s="119"/>
      <c r="I86" s="120"/>
      <c r="J86" s="120"/>
      <c r="K86" s="120"/>
    </row>
    <row r="87" spans="1:17" ht="14.25" hidden="1" thickTop="1" thickBot="1" x14ac:dyDescent="0.25">
      <c r="A87" s="56"/>
      <c r="B87" s="56"/>
      <c r="C87" s="200" t="s">
        <v>112</v>
      </c>
      <c r="D87" s="56"/>
      <c r="E87" s="197" t="str">
        <f>IF(J87&gt;0,VLOOKUP($C87,ConfigurationTS3L2!$A$1:$M$4993,13,FALSE),"")</f>
        <v/>
      </c>
      <c r="F87" s="151" t="str">
        <f>IF(C87=ConfigurationTS3L2!A151,"",VLOOKUP($C87,TS3L2_BEZEL,7,FALSE))</f>
        <v/>
      </c>
      <c r="G87" s="119"/>
      <c r="H87" s="119"/>
      <c r="I87" s="128">
        <f>IF(C87=ConfigurationTS3L2!A151,0,VLOOKUP($C87,TS3L2_BEZEL,10,FALSE))</f>
        <v>0</v>
      </c>
      <c r="J87" s="128">
        <f>IF(C87=ConfigurationTS3L2!A151,0,VLOOKUP($C87,TS3L2_BEZEL,11,FALSE))</f>
        <v>0</v>
      </c>
      <c r="K87" s="128" t="str">
        <f>IF(C87=ConfigurationTS3L2!A151,0,VLOOKUP($C87,TS3L2_ALL,12,FALSE))</f>
        <v/>
      </c>
    </row>
    <row r="88" spans="1:17" hidden="1" x14ac:dyDescent="0.25">
      <c r="A88" s="125"/>
      <c r="B88" s="56"/>
      <c r="C88" s="201"/>
      <c r="D88" s="56"/>
      <c r="E88" s="194"/>
      <c r="F88" s="124"/>
      <c r="G88" s="119"/>
      <c r="H88" s="119"/>
      <c r="I88" s="121"/>
      <c r="J88" s="120"/>
      <c r="K88" s="120"/>
    </row>
    <row r="89" spans="1:17" ht="15.75" customHeight="1" thickBot="1" x14ac:dyDescent="0.3">
      <c r="A89" s="56"/>
      <c r="B89" s="56"/>
      <c r="C89" s="203" t="s">
        <v>156</v>
      </c>
      <c r="D89" s="230" t="str">
        <f>HYPERLINK("https://convenzioni.converge.it/docs/ts3_datasheet/TS3warranty.pdf","i")</f>
        <v>i</v>
      </c>
      <c r="E89" s="194"/>
      <c r="F89" s="124"/>
      <c r="G89" s="119"/>
      <c r="H89" s="119"/>
      <c r="I89" s="120"/>
      <c r="J89" s="120"/>
      <c r="K89" s="120"/>
    </row>
    <row r="90" spans="1:17" ht="16.5" customHeight="1" thickTop="1" thickBot="1" x14ac:dyDescent="0.25">
      <c r="A90" s="56"/>
      <c r="B90" s="56"/>
      <c r="C90" s="200" t="s">
        <v>134</v>
      </c>
      <c r="D90" s="230"/>
      <c r="E90" s="197" t="str">
        <f>VLOOKUP($C90,TS3L2_WARRANTY,13,FALSE)</f>
        <v/>
      </c>
      <c r="F90" s="151" t="str">
        <f>VLOOKUP($C90,TS3L2_WARRANTY,7,FALSE)</f>
        <v/>
      </c>
      <c r="G90" s="119"/>
      <c r="H90" s="119"/>
      <c r="I90" s="128">
        <f>VLOOKUP($C90,TS3L2_WARRANTY,10,FALSE)</f>
        <v>0</v>
      </c>
      <c r="J90" s="128">
        <f>VLOOKUP($C90,TS3L2_WARRANTY,11,FALSE)</f>
        <v>0</v>
      </c>
      <c r="K90" s="128" t="str">
        <f>VLOOKUP($C90,TS3L2_ALL,12,FALSE)</f>
        <v/>
      </c>
    </row>
    <row r="91" spans="1:17" ht="15.75" customHeight="1" thickTop="1" x14ac:dyDescent="0.25">
      <c r="A91" s="56"/>
      <c r="B91" s="56"/>
      <c r="C91" s="201"/>
      <c r="D91" s="56"/>
      <c r="E91" s="194"/>
      <c r="F91" s="124"/>
      <c r="G91" s="119"/>
      <c r="H91" s="119"/>
      <c r="I91" s="121"/>
      <c r="J91" s="120"/>
      <c r="K91" s="120"/>
    </row>
    <row r="92" spans="1:17" ht="15.75" customHeight="1" thickBot="1" x14ac:dyDescent="0.3">
      <c r="A92" s="125"/>
      <c r="B92" s="56"/>
      <c r="C92" s="203" t="s">
        <v>148</v>
      </c>
      <c r="D92" s="230" t="str">
        <f>HYPERLINK("https://convenzioni.converge.it/docs/ts3_datasheet/DELL_HDD_KYHD.pdf","i")</f>
        <v>i</v>
      </c>
      <c r="E92" s="194"/>
      <c r="F92" s="124"/>
      <c r="G92" s="119"/>
      <c r="H92" s="119"/>
      <c r="I92" s="120"/>
      <c r="J92" s="120"/>
      <c r="K92" s="120"/>
    </row>
    <row r="93" spans="1:17" ht="16.5" customHeight="1" thickTop="1" thickBot="1" x14ac:dyDescent="0.25">
      <c r="A93" s="56"/>
      <c r="B93" s="56"/>
      <c r="C93" s="200" t="s">
        <v>155</v>
      </c>
      <c r="D93" s="230"/>
      <c r="E93" s="197" t="str">
        <f>IFERROR(N93,VLOOKUP(C93,TS3L2_ALL,13,FALSE))</f>
        <v/>
      </c>
      <c r="F93" s="151" t="str">
        <f>IF(C93="","",1)</f>
        <v/>
      </c>
      <c r="G93" s="119"/>
      <c r="H93" s="119"/>
      <c r="I93" s="128">
        <f>IFERROR(O93,VLOOKUP(C93,TS3L2_ALL,10,FALSE))</f>
        <v>0</v>
      </c>
      <c r="J93" s="128">
        <f>IFERROR(P93,VLOOKUP(C93,TS3L2_ALL,11,FALSE))</f>
        <v>0</v>
      </c>
      <c r="K93" s="128" t="str">
        <f>IFERROR(Q93,VLOOKUP(C93,TS3L2_ALL,12,FALSE))</f>
        <v/>
      </c>
      <c r="N93" s="79" t="e">
        <f>IF(F90+F93=2,VLOOKUP("Hard Disk Retention (60 mesi)",TS3L2_ALL,13,FALSE),VLOOKUP(C93,TS3L2_ALL,13,FALSE))</f>
        <v>#VALUE!</v>
      </c>
      <c r="O93" s="79" t="e">
        <f>IF(F90+F93=2,VLOOKUP("Hard Disk Retention (60 mesi)",TS3L2_ALL,10,FALSE),VLOOKUP(C93,TS3L2_ALL,10,FALSE))</f>
        <v>#VALUE!</v>
      </c>
      <c r="P93" s="79" t="e">
        <f>IF(F90+F93=2,VLOOKUP("Hard Disk Retention (60 mesi)",TS3L2_ALL,11,FALSE),VLOOKUP(C93,TS3L2_ALL,11,FALSE))</f>
        <v>#VALUE!</v>
      </c>
      <c r="Q93" s="79" t="e">
        <f>IF(F90+F93=2,VLOOKUP("Hard Disk Retention (60 mesi)",TS3L2_ALL,12,FALSE),VLOOKUP(C93,TS3L2_ALL,12,FALSE))</f>
        <v>#VALUE!</v>
      </c>
    </row>
    <row r="94" spans="1:17" ht="15.75" customHeight="1" thickTop="1" thickBot="1" x14ac:dyDescent="0.3">
      <c r="A94" s="56"/>
      <c r="B94" s="56"/>
      <c r="C94" s="187"/>
      <c r="D94" s="56"/>
      <c r="E94" s="194"/>
      <c r="F94" s="194"/>
      <c r="G94" s="120"/>
      <c r="H94" s="119"/>
      <c r="I94" s="121"/>
      <c r="J94" s="120"/>
      <c r="K94" s="120"/>
    </row>
    <row r="95" spans="1:17" ht="15.75" customHeight="1" thickTop="1" x14ac:dyDescent="0.25">
      <c r="A95" s="129"/>
      <c r="B95" s="129"/>
      <c r="C95" s="214"/>
      <c r="D95" s="129"/>
      <c r="E95" s="215"/>
      <c r="F95" s="215"/>
      <c r="G95" s="130"/>
      <c r="H95" s="130"/>
      <c r="I95" s="131"/>
      <c r="J95" s="130"/>
      <c r="K95" s="106"/>
    </row>
    <row r="96" spans="1:17" ht="15.75" customHeight="1" thickBot="1" x14ac:dyDescent="0.3">
      <c r="A96" s="120"/>
      <c r="B96" s="120"/>
      <c r="C96" s="203" t="s">
        <v>158</v>
      </c>
      <c r="D96" s="230" t="str">
        <f>HYPERLINK("https://convenzioni.converge.it/docs/ts3_datasheet/RPMM_UPS.pdf","i")</f>
        <v>i</v>
      </c>
      <c r="E96" s="194"/>
      <c r="F96" s="124"/>
      <c r="G96" s="119"/>
      <c r="H96" s="119"/>
      <c r="I96" s="120"/>
      <c r="J96" s="120"/>
      <c r="K96" s="120"/>
    </row>
    <row r="97" spans="1:11" ht="16.5" customHeight="1" thickTop="1" thickBot="1" x14ac:dyDescent="0.25">
      <c r="A97" s="56"/>
      <c r="B97" s="56"/>
      <c r="C97" s="200" t="s">
        <v>155</v>
      </c>
      <c r="D97" s="230"/>
      <c r="E97" s="197" t="str">
        <f>VLOOKUP($C97,TS3L2_UPS,13,FALSE)</f>
        <v/>
      </c>
      <c r="F97" s="151" t="str">
        <f>VLOOKUP($C97,TS3L2_UPS,7,FALSE)</f>
        <v/>
      </c>
      <c r="G97" s="119"/>
      <c r="H97" s="119"/>
      <c r="I97" s="128">
        <f>VLOOKUP($C97,TS3L2_UPS,10,FALSE)</f>
        <v>0</v>
      </c>
      <c r="J97" s="128">
        <f>VLOOKUP($C97,TS3L2_UPS,11,FALSE)</f>
        <v>0</v>
      </c>
      <c r="K97" s="128" t="str">
        <f>VLOOKUP($C97,TS3L2_ALL,12,FALSE)</f>
        <v/>
      </c>
    </row>
    <row r="98" spans="1:11" ht="15.75" customHeight="1" thickTop="1" x14ac:dyDescent="0.25">
      <c r="A98" s="56"/>
      <c r="B98" s="56"/>
      <c r="C98" s="187"/>
      <c r="D98" s="56"/>
      <c r="E98" s="194"/>
      <c r="F98" s="194"/>
      <c r="G98" s="119"/>
      <c r="H98" s="120"/>
      <c r="I98" s="121"/>
      <c r="J98" s="120"/>
      <c r="K98" s="120"/>
    </row>
    <row r="99" spans="1:11" ht="15.75" customHeight="1" thickBot="1" x14ac:dyDescent="0.3">
      <c r="A99" s="56"/>
      <c r="B99" s="125"/>
      <c r="C99" s="203" t="s">
        <v>165</v>
      </c>
      <c r="D99" s="230" t="str">
        <f>HYPERLINK("https://convenzioni.converge.it/docs/ts3_datasheet/Dell_E1916H.pdf","i")</f>
        <v>i</v>
      </c>
      <c r="E99" s="194"/>
      <c r="F99" s="124"/>
      <c r="G99" s="119"/>
      <c r="H99" s="119"/>
      <c r="I99" s="120"/>
      <c r="J99" s="120"/>
      <c r="K99" s="120"/>
    </row>
    <row r="100" spans="1:11" ht="16.5" customHeight="1" thickTop="1" thickBot="1" x14ac:dyDescent="0.25">
      <c r="A100" s="56"/>
      <c r="B100" s="56"/>
      <c r="C100" s="200" t="s">
        <v>155</v>
      </c>
      <c r="D100" s="230"/>
      <c r="E100" s="197" t="str">
        <f>VLOOKUP($C100,TS3L2_GUI,13,FALSE)</f>
        <v/>
      </c>
      <c r="F100" s="151" t="str">
        <f>VLOOKUP($C100,TS3L2_GUI,7,FALSE)</f>
        <v/>
      </c>
      <c r="G100" s="119"/>
      <c r="H100" s="119"/>
      <c r="I100" s="128">
        <f>VLOOKUP($C100,TS3L2_GUI,10,FALSE)</f>
        <v>0</v>
      </c>
      <c r="J100" s="128">
        <f>VLOOKUP($C100,TS3L2_GUI,11,FALSE)</f>
        <v>0</v>
      </c>
      <c r="K100" s="128" t="str">
        <f>VLOOKUP($C100,TS3L2_ALL,12,FALSE)</f>
        <v/>
      </c>
    </row>
    <row r="101" spans="1:11" ht="15.75" customHeight="1" thickTop="1" x14ac:dyDescent="0.25">
      <c r="A101" s="56"/>
      <c r="B101" s="56"/>
      <c r="C101" s="187"/>
      <c r="D101" s="56"/>
      <c r="E101" s="194"/>
      <c r="F101" s="194"/>
      <c r="G101" s="119"/>
      <c r="H101" s="120"/>
      <c r="I101" s="121"/>
      <c r="J101" s="120"/>
      <c r="K101" s="120"/>
    </row>
  </sheetData>
  <sheetProtection algorithmName="SHA-512" hashValue="TtgySrSCb4szWDrNtqUgZYAF79uHM7opg5cFkiOhzlBIIm9YjLYupCaGrw5aasYXjOp0xrPrIUX3Xyg2C943gw==" saltValue="jDt5zRpZngRyKlyoMIJOrw==" spinCount="100000" sheet="1" objects="1" scenarios="1"/>
  <mergeCells count="11">
    <mergeCell ref="H30:H40"/>
    <mergeCell ref="C31:C32"/>
    <mergeCell ref="D7:D8"/>
    <mergeCell ref="D10:D11"/>
    <mergeCell ref="D16:D17"/>
    <mergeCell ref="D28:D29"/>
    <mergeCell ref="D47:D48"/>
    <mergeCell ref="D89:D90"/>
    <mergeCell ref="D92:D93"/>
    <mergeCell ref="D96:D97"/>
    <mergeCell ref="D99:D100"/>
  </mergeCells>
  <conditionalFormatting sqref="C45">
    <cfRule type="expression" dxfId="196" priority="112">
      <formula>$J45&gt;0</formula>
    </cfRule>
  </conditionalFormatting>
  <conditionalFormatting sqref="C57">
    <cfRule type="expression" dxfId="195" priority="108">
      <formula>$J57&gt;0</formula>
    </cfRule>
  </conditionalFormatting>
  <conditionalFormatting sqref="E57:F57">
    <cfRule type="expression" dxfId="194" priority="107">
      <formula>$J57&gt;0</formula>
    </cfRule>
  </conditionalFormatting>
  <conditionalFormatting sqref="C60">
    <cfRule type="expression" dxfId="193" priority="106">
      <formula>$J60&gt;0</formula>
    </cfRule>
  </conditionalFormatting>
  <conditionalFormatting sqref="C63">
    <cfRule type="expression" dxfId="192" priority="104">
      <formula>$J63&gt;0</formula>
    </cfRule>
  </conditionalFormatting>
  <conditionalFormatting sqref="C90">
    <cfRule type="expression" dxfId="191" priority="98">
      <formula>$J90&gt;0</formula>
    </cfRule>
  </conditionalFormatting>
  <conditionalFormatting sqref="C87">
    <cfRule type="expression" dxfId="190" priority="102">
      <formula>$J87&gt;0</formula>
    </cfRule>
  </conditionalFormatting>
  <conditionalFormatting sqref="F87">
    <cfRule type="expression" dxfId="189" priority="101">
      <formula>$J87&gt;0</formula>
    </cfRule>
  </conditionalFormatting>
  <conditionalFormatting sqref="E90:F90">
    <cfRule type="expression" dxfId="188" priority="97">
      <formula>$J90&gt;0</formula>
    </cfRule>
  </conditionalFormatting>
  <conditionalFormatting sqref="C34">
    <cfRule type="expression" dxfId="187" priority="88">
      <formula>$J34&gt;0</formula>
    </cfRule>
  </conditionalFormatting>
  <conditionalFormatting sqref="E40:F40">
    <cfRule type="expression" dxfId="186" priority="93">
      <formula>$J40&gt;0</formula>
    </cfRule>
  </conditionalFormatting>
  <conditionalFormatting sqref="E26:F26">
    <cfRule type="expression" dxfId="185" priority="85">
      <formula>$J26&gt;0</formula>
    </cfRule>
  </conditionalFormatting>
  <conditionalFormatting sqref="E38:F38">
    <cfRule type="expression" dxfId="184" priority="91">
      <formula>$J38&gt;0</formula>
    </cfRule>
  </conditionalFormatting>
  <conditionalFormatting sqref="C97">
    <cfRule type="expression" dxfId="183" priority="82">
      <formula>$J97&gt;0</formula>
    </cfRule>
  </conditionalFormatting>
  <conditionalFormatting sqref="E36:F36">
    <cfRule type="expression" dxfId="182" priority="89">
      <formula>$J36&gt;0</formula>
    </cfRule>
  </conditionalFormatting>
  <conditionalFormatting sqref="E34:F34">
    <cfRule type="expression" dxfId="181" priority="87">
      <formula>$J34&gt;0</formula>
    </cfRule>
  </conditionalFormatting>
  <conditionalFormatting sqref="C26">
    <cfRule type="expression" dxfId="180" priority="86">
      <formula>$J26&gt;0</formula>
    </cfRule>
  </conditionalFormatting>
  <conditionalFormatting sqref="E100:F100">
    <cfRule type="expression" dxfId="179" priority="78">
      <formula>$J100&gt;0</formula>
    </cfRule>
  </conditionalFormatting>
  <conditionalFormatting sqref="E97:F97">
    <cfRule type="expression" dxfId="178" priority="80">
      <formula>$J97&gt;0</formula>
    </cfRule>
  </conditionalFormatting>
  <conditionalFormatting sqref="C100">
    <cfRule type="expression" dxfId="177" priority="79">
      <formula>$J100&gt;0</formula>
    </cfRule>
  </conditionalFormatting>
  <conditionalFormatting sqref="E84">
    <cfRule type="expression" dxfId="176" priority="77">
      <formula>$J84&gt;0</formula>
    </cfRule>
  </conditionalFormatting>
  <conditionalFormatting sqref="C84">
    <cfRule type="expression" dxfId="175" priority="76">
      <formula>$J84&gt;0</formula>
    </cfRule>
  </conditionalFormatting>
  <conditionalFormatting sqref="E27:F27">
    <cfRule type="expression" dxfId="174" priority="71">
      <formula>$J27&gt;0</formula>
    </cfRule>
  </conditionalFormatting>
  <conditionalFormatting sqref="E42:F42">
    <cfRule type="expression" dxfId="173" priority="69">
      <formula>$J42&gt;0</formula>
    </cfRule>
  </conditionalFormatting>
  <conditionalFormatting sqref="C36">
    <cfRule type="expression" dxfId="172" priority="64">
      <formula>$J36&gt;0</formula>
    </cfRule>
  </conditionalFormatting>
  <conditionalFormatting sqref="C38">
    <cfRule type="expression" dxfId="171" priority="63">
      <formula>$J38&gt;0</formula>
    </cfRule>
  </conditionalFormatting>
  <conditionalFormatting sqref="C40">
    <cfRule type="expression" dxfId="170" priority="62">
      <formula>$J40&gt;0</formula>
    </cfRule>
  </conditionalFormatting>
  <conditionalFormatting sqref="C42">
    <cfRule type="expression" dxfId="169" priority="61">
      <formula>$J42&gt;0</formula>
    </cfRule>
  </conditionalFormatting>
  <conditionalFormatting sqref="E31:F31">
    <cfRule type="expression" dxfId="168" priority="60">
      <formula>$J31&gt;0</formula>
    </cfRule>
  </conditionalFormatting>
  <conditionalFormatting sqref="E32:F32">
    <cfRule type="expression" dxfId="167" priority="59">
      <formula>$J32&gt;0</formula>
    </cfRule>
  </conditionalFormatting>
  <conditionalFormatting sqref="F32">
    <cfRule type="cellIs" dxfId="166" priority="57" operator="lessThan">
      <formula>0</formula>
    </cfRule>
  </conditionalFormatting>
  <conditionalFormatting sqref="E60:F60">
    <cfRule type="expression" dxfId="165" priority="42">
      <formula>$J60&gt;0</formula>
    </cfRule>
  </conditionalFormatting>
  <conditionalFormatting sqref="C54">
    <cfRule type="expression" dxfId="164" priority="47">
      <formula>$J54&gt;0</formula>
    </cfRule>
  </conditionalFormatting>
  <conditionalFormatting sqref="E54:F54">
    <cfRule type="expression" dxfId="163" priority="46">
      <formula>$J54&gt;0</formula>
    </cfRule>
  </conditionalFormatting>
  <conditionalFormatting sqref="E63:F63">
    <cfRule type="expression" dxfId="162" priority="41">
      <formula>$J63&gt;0</formula>
    </cfRule>
  </conditionalFormatting>
  <conditionalFormatting sqref="C66">
    <cfRule type="expression" dxfId="161" priority="32">
      <formula>$J66&gt;0</formula>
    </cfRule>
  </conditionalFormatting>
  <conditionalFormatting sqref="E66:F66">
    <cfRule type="expression" dxfId="160" priority="36">
      <formula>$J66&gt;0</formula>
    </cfRule>
  </conditionalFormatting>
  <conditionalFormatting sqref="E69:F69">
    <cfRule type="expression" dxfId="159" priority="35">
      <formula>$J69&gt;0</formula>
    </cfRule>
  </conditionalFormatting>
  <conditionalFormatting sqref="E72:F72">
    <cfRule type="expression" dxfId="158" priority="34">
      <formula>$J72&gt;0</formula>
    </cfRule>
  </conditionalFormatting>
  <conditionalFormatting sqref="E75:F75">
    <cfRule type="expression" dxfId="157" priority="33">
      <formula>$J75&gt;0</formula>
    </cfRule>
  </conditionalFormatting>
  <conditionalFormatting sqref="C75">
    <cfRule type="expression" dxfId="156" priority="29">
      <formula>$J75&gt;0</formula>
    </cfRule>
  </conditionalFormatting>
  <conditionalFormatting sqref="C69">
    <cfRule type="expression" dxfId="155" priority="31">
      <formula>$J69&gt;0</formula>
    </cfRule>
  </conditionalFormatting>
  <conditionalFormatting sqref="C72">
    <cfRule type="expression" dxfId="154" priority="30">
      <formula>$J72&gt;0</formula>
    </cfRule>
  </conditionalFormatting>
  <conditionalFormatting sqref="C11">
    <cfRule type="expression" dxfId="153" priority="28">
      <formula>$J11&gt;0</formula>
    </cfRule>
  </conditionalFormatting>
  <conditionalFormatting sqref="E11">
    <cfRule type="expression" dxfId="152" priority="27">
      <formula>$J11&gt;0</formula>
    </cfRule>
  </conditionalFormatting>
  <conditionalFormatting sqref="C78">
    <cfRule type="expression" dxfId="151" priority="13">
      <formula>$J78&gt;0</formula>
    </cfRule>
  </conditionalFormatting>
  <conditionalFormatting sqref="C81">
    <cfRule type="expression" dxfId="150" priority="20">
      <formula>$J81&gt;0</formula>
    </cfRule>
  </conditionalFormatting>
  <conditionalFormatting sqref="E87">
    <cfRule type="expression" dxfId="149" priority="16">
      <formula>$J87&gt;0</formula>
    </cfRule>
  </conditionalFormatting>
  <conditionalFormatting sqref="F11">
    <cfRule type="expression" dxfId="148" priority="10">
      <formula>$J11&gt;0</formula>
    </cfRule>
  </conditionalFormatting>
  <conditionalFormatting sqref="E81">
    <cfRule type="expression" dxfId="147" priority="14">
      <formula>$J81&gt;0</formula>
    </cfRule>
  </conditionalFormatting>
  <conditionalFormatting sqref="E78">
    <cfRule type="expression" dxfId="146" priority="11">
      <formula>$J78&gt;0</formula>
    </cfRule>
  </conditionalFormatting>
  <conditionalFormatting sqref="F27">
    <cfRule type="expression" dxfId="145" priority="9">
      <formula>$F$27=0</formula>
    </cfRule>
  </conditionalFormatting>
  <conditionalFormatting sqref="E23:F23">
    <cfRule type="expression" dxfId="144" priority="8">
      <formula>$J23&gt;0</formula>
    </cfRule>
  </conditionalFormatting>
  <conditionalFormatting sqref="F23">
    <cfRule type="expression" dxfId="143" priority="7">
      <formula>$F$23=0</formula>
    </cfRule>
  </conditionalFormatting>
  <conditionalFormatting sqref="E20">
    <cfRule type="expression" dxfId="142" priority="6">
      <formula>$J20&gt;0</formula>
    </cfRule>
  </conditionalFormatting>
  <conditionalFormatting sqref="F20">
    <cfRule type="expression" dxfId="141" priority="5">
      <formula>$F$20=0</formula>
    </cfRule>
  </conditionalFormatting>
  <conditionalFormatting sqref="C23">
    <cfRule type="expression" dxfId="140" priority="4">
      <formula>$J23&gt;0</formula>
    </cfRule>
  </conditionalFormatting>
  <conditionalFormatting sqref="C20">
    <cfRule type="expression" dxfId="139" priority="3">
      <formula>$J20&gt;0</formula>
    </cfRule>
  </conditionalFormatting>
  <conditionalFormatting sqref="C29">
    <cfRule type="expression" dxfId="138" priority="2">
      <formula>$J29&gt;0</formula>
    </cfRule>
  </conditionalFormatting>
  <conditionalFormatting sqref="E29:F29">
    <cfRule type="expression" dxfId="137" priority="1">
      <formula>$J29&gt;0</formula>
    </cfRule>
  </conditionalFormatting>
  <dataValidations count="1">
    <dataValidation type="list" allowBlank="1" showErrorMessage="1" sqref="C41" xr:uid="{00000000-0002-0000-0000-000000000000}">
      <formula1>$A$21:$A$27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 xr:uid="{00000000-0002-0000-0000-000001000000}">
          <x14:formula1>
            <xm:f>ConfigurationTS3L2!$A$37:$A$39</xm:f>
          </x14:formula1>
          <xm:sqref>C26</xm:sqref>
        </x14:dataValidation>
        <x14:dataValidation type="list" allowBlank="1" showErrorMessage="1" xr:uid="{00000000-0002-0000-0000-000002000000}">
          <x14:formula1>
            <xm:f>ConfigurationTS3L2!$A$78:$A$79</xm:f>
          </x14:formula1>
          <xm:sqref>C60</xm:sqref>
        </x14:dataValidation>
        <x14:dataValidation type="list" allowBlank="1" showErrorMessage="1" xr:uid="{00000000-0002-0000-0000-000003000000}">
          <x14:formula1>
            <xm:f>ConfigurationTS3L2!$A$134:$A$135</xm:f>
          </x14:formula1>
          <xm:sqref>C90</xm:sqref>
        </x14:dataValidation>
        <x14:dataValidation type="list" allowBlank="1" showErrorMessage="1" xr:uid="{00000000-0002-0000-0000-000004000000}">
          <x14:formula1>
            <xm:f>ConfigurationTS3L2!$A$138:$A$139</xm:f>
          </x14:formula1>
          <xm:sqref>C93</xm:sqref>
        </x14:dataValidation>
        <x14:dataValidation type="list" allowBlank="1" showErrorMessage="1" xr:uid="{00000000-0002-0000-0000-000005000000}">
          <x14:formula1>
            <xm:f>ConfigurationTS3L2!$A$143:$A$144</xm:f>
          </x14:formula1>
          <xm:sqref>C97</xm:sqref>
        </x14:dataValidation>
        <x14:dataValidation type="list" allowBlank="1" showErrorMessage="1" prompt="Kit Graphical User Interface (GUI), costituito da un monitor da tavolo TFT 17”, con risoluzione di 1024x768, intervallo di frequenze orizzontali di almeno 30KHz-60KHz, da una tastiera e da un dispositivo di puntamento (mouse)." xr:uid="{00000000-0002-0000-0000-000006000000}">
          <x14:formula1>
            <xm:f>ConfigurationTS3L2!$A$147:$A$148</xm:f>
          </x14:formula1>
          <xm:sqref>C100</xm:sqref>
        </x14:dataValidation>
        <x14:dataValidation type="list" allowBlank="1" showErrorMessage="1" xr:uid="{00000000-0002-0000-0000-000007000000}">
          <x14:formula1>
            <xm:f>ConfigurationTS3L2!$A$64:$A$71</xm:f>
          </x14:formula1>
          <xm:sqref>C54</xm:sqref>
        </x14:dataValidation>
        <x14:dataValidation type="list" allowBlank="1" showErrorMessage="1" xr:uid="{00000000-0002-0000-0000-000008000000}">
          <x14:formula1>
            <xm:f>ConfigurationTS3L2!$A$10:$A$11</xm:f>
          </x14:formula1>
          <xm:sqref>C20</xm:sqref>
        </x14:dataValidation>
        <x14:dataValidation type="list" allowBlank="1" showErrorMessage="1" xr:uid="{00000000-0002-0000-0000-000009000000}">
          <x14:formula1>
            <xm:f>ConfigurationTS3L2!$A$74:$A$75</xm:f>
          </x14:formula1>
          <xm:sqref>C57</xm:sqref>
        </x14:dataValidation>
        <x14:dataValidation type="list" allowBlank="1" showErrorMessage="1" xr:uid="{00000000-0002-0000-0000-00000A000000}">
          <x14:formula1>
            <xm:f>IF($I$20&gt;0,ConfigurationTS3L2!$A$82:$A$89,ConfigurationTS3L2!$A$60:$A$61)</xm:f>
          </x14:formula1>
          <xm:sqref>C63</xm:sqref>
        </x14:dataValidation>
        <x14:dataValidation type="list" allowBlank="1" showErrorMessage="1" xr:uid="{00000000-0002-0000-0000-00000B000000}">
          <x14:formula1>
            <xm:f>IF($I$20&gt;0,ConfigurationTS3L2!$A$92:$A$93,ConfigurationTS3L2!$A$60:$A$61)</xm:f>
          </x14:formula1>
          <xm:sqref>C66</xm:sqref>
        </x14:dataValidation>
        <x14:dataValidation type="list" allowBlank="1" showErrorMessage="1" xr:uid="{00000000-0002-0000-0000-00000C000000}">
          <x14:formula1>
            <xm:f>IF($I$20&gt;0,ConfigurationTS3L2!$A$96:$A$103,ConfigurationTS3L2!$A$60:$A$61)</xm:f>
          </x14:formula1>
          <xm:sqref>C69</xm:sqref>
        </x14:dataValidation>
        <x14:dataValidation type="list" allowBlank="1" showErrorMessage="1" xr:uid="{00000000-0002-0000-0000-00000D000000}">
          <x14:formula1>
            <xm:f>IF($I$20&gt;0,ConfigurationTS3L2!$A$106:$A$113,ConfigurationTS3L2!$A$60:$A$61)</xm:f>
          </x14:formula1>
          <xm:sqref>C72</xm:sqref>
        </x14:dataValidation>
        <x14:dataValidation type="list" allowBlank="1" showErrorMessage="1" xr:uid="{00000000-0002-0000-0000-00000E000000}">
          <x14:formula1>
            <xm:f>IF($I$20&gt;0,ConfigurationTS3L2!$A$116:$A$117,ConfigurationTS3L2!$A$60:$A$61)</xm:f>
          </x14:formula1>
          <xm:sqref>C75</xm:sqref>
        </x14:dataValidation>
        <x14:dataValidation type="list" allowBlank="1" showErrorMessage="1" xr:uid="{00000000-0002-0000-0000-00000F000000}">
          <x14:formula1>
            <xm:f>ConfigurationTS3L2!$A$6:$A$7</xm:f>
          </x14:formula1>
          <xm:sqref>C11</xm:sqref>
        </x14:dataValidation>
        <x14:dataValidation type="list" allowBlank="1" showErrorMessage="1" xr:uid="{00000000-0002-0000-0000-000010000000}">
          <x14:formula1>
            <xm:f>IF($J$11&gt;0,ConfigurationTS3L2!$A$150:$A$151,ConfigurationTS3L2!$A$124:$A$126)</xm:f>
          </x14:formula1>
          <xm:sqref>C87</xm:sqref>
        </x14:dataValidation>
        <x14:dataValidation type="list" allowBlank="1" showErrorMessage="1" xr:uid="{00000000-0002-0000-0000-000011000000}">
          <x14:formula1>
            <xm:f>IF($F$20=1,ConfigurationTS3L2!$A$23:$A$34,ConfigurationTS3L2!$A$14:$A$20)</xm:f>
          </x14:formula1>
          <xm:sqref>C23</xm:sqref>
        </x14:dataValidation>
        <x14:dataValidation type="list" allowBlank="1" showErrorMessage="1" xr:uid="{00000000-0002-0000-0000-000012000000}">
          <x14:formula1>
            <xm:f>ConfigurationTS3L2!$A$50:$A$51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9" tint="0.39997558519241921"/>
  </sheetPr>
  <dimension ref="A1:Q115"/>
  <sheetViews>
    <sheetView workbookViewId="0">
      <pane ySplit="5" topLeftCell="A6" activePane="bottomLeft" state="frozen"/>
      <selection pane="bottomLeft" activeCell="F5" sqref="F5"/>
    </sheetView>
  </sheetViews>
  <sheetFormatPr defaultColWidth="0" defaultRowHeight="0" customHeight="1" zeroHeight="1" x14ac:dyDescent="0.25"/>
  <cols>
    <col min="1" max="2" width="4.5703125" style="79" customWidth="1"/>
    <col min="3" max="3" width="72.7109375" style="196" customWidth="1"/>
    <col min="4" max="4" width="10.7109375" style="79" customWidth="1"/>
    <col min="5" max="5" width="17.42578125" style="201" customWidth="1"/>
    <col min="6" max="6" width="17.140625" style="201" customWidth="1"/>
    <col min="7" max="7" width="3.5703125" style="125" customWidth="1"/>
    <col min="8" max="8" width="36" style="125" customWidth="1"/>
    <col min="9" max="9" width="14" style="132" hidden="1"/>
    <col min="10" max="11" width="9.140625" style="125" hidden="1"/>
    <col min="12" max="16384" width="9.140625" style="79" hidden="1"/>
  </cols>
  <sheetData>
    <row r="1" spans="1:11" ht="15" x14ac:dyDescent="0.25">
      <c r="A1" s="56"/>
      <c r="B1" s="56"/>
      <c r="C1" s="187"/>
      <c r="D1" s="56"/>
      <c r="E1" s="188" t="s">
        <v>152</v>
      </c>
      <c r="F1" s="189">
        <f>SUM(I8:I100)*F5</f>
        <v>0</v>
      </c>
      <c r="G1" s="119"/>
      <c r="H1" s="120"/>
      <c r="I1" s="121"/>
      <c r="J1" s="120"/>
      <c r="K1" s="120"/>
    </row>
    <row r="2" spans="1:11" ht="15" x14ac:dyDescent="0.25">
      <c r="A2" s="56"/>
      <c r="B2" s="56"/>
      <c r="C2" s="187"/>
      <c r="D2" s="56"/>
      <c r="E2" s="190">
        <v>0.2</v>
      </c>
      <c r="F2" s="191">
        <f>SUM(J8:J100)*F5</f>
        <v>0</v>
      </c>
      <c r="G2" s="119"/>
      <c r="H2" s="120"/>
      <c r="I2" s="121"/>
      <c r="J2" s="120"/>
      <c r="K2" s="120"/>
    </row>
    <row r="3" spans="1:11" ht="15" x14ac:dyDescent="0.25">
      <c r="A3" s="56"/>
      <c r="B3" s="56"/>
      <c r="C3" s="187"/>
      <c r="D3" s="56"/>
      <c r="E3" s="192" t="s">
        <v>153</v>
      </c>
      <c r="F3" s="193">
        <f>SUM(F1:F2)</f>
        <v>0</v>
      </c>
      <c r="G3" s="119"/>
      <c r="H3" s="120"/>
      <c r="I3" s="121"/>
      <c r="J3" s="120"/>
      <c r="K3" s="120"/>
    </row>
    <row r="4" spans="1:11" ht="15.75" thickBot="1" x14ac:dyDescent="0.3">
      <c r="A4" s="56"/>
      <c r="B4" s="56"/>
      <c r="C4" s="187"/>
      <c r="D4" s="56"/>
      <c r="E4" s="194"/>
      <c r="F4" s="194"/>
      <c r="G4" s="119"/>
      <c r="H4" s="120"/>
      <c r="I4" s="121"/>
      <c r="J4" s="120"/>
      <c r="K4" s="120"/>
    </row>
    <row r="5" spans="1:11" ht="31.5" thickTop="1" thickBot="1" x14ac:dyDescent="0.3">
      <c r="A5" s="56"/>
      <c r="B5" s="56"/>
      <c r="C5" s="195" t="s">
        <v>607</v>
      </c>
      <c r="D5" s="216" t="str">
        <f>HYPERLINK("https://convenzioni.converge.it/docs/L2GuidaAllaConvenzioneTecnologieServer3.pdf","&amp;")</f>
        <v>&amp;</v>
      </c>
      <c r="E5" s="122" t="s">
        <v>154</v>
      </c>
      <c r="F5" s="174"/>
      <c r="G5" s="119"/>
      <c r="H5" s="123" t="str">
        <f>Riepilogo!G8</f>
        <v>Version 3.3</v>
      </c>
      <c r="I5" s="121"/>
      <c r="J5" s="120"/>
      <c r="K5" s="120"/>
    </row>
    <row r="6" spans="1:11" ht="15.75" customHeight="1" thickTop="1" x14ac:dyDescent="0.25">
      <c r="A6" s="56"/>
      <c r="B6" s="56"/>
      <c r="D6" s="56"/>
      <c r="E6" s="194"/>
      <c r="F6" s="124"/>
      <c r="G6" s="119"/>
      <c r="H6" s="120"/>
      <c r="I6" s="121"/>
      <c r="J6" s="120"/>
      <c r="K6" s="120"/>
    </row>
    <row r="7" spans="1:11" ht="15.75" customHeight="1" x14ac:dyDescent="0.25">
      <c r="A7" s="125"/>
      <c r="B7" s="56"/>
      <c r="C7" s="188" t="s">
        <v>0</v>
      </c>
      <c r="D7" s="230" t="str">
        <f>HYPERLINK("https://convenzioni.converge.it/docs/ts3_datasheet/dell-emc-poweredge-t640-spec-sheet.pdf","i")</f>
        <v>i</v>
      </c>
      <c r="E7" s="194"/>
      <c r="F7" s="194"/>
      <c r="G7" s="119"/>
      <c r="H7" s="119"/>
      <c r="I7" s="120"/>
      <c r="J7" s="120"/>
      <c r="K7" s="120"/>
    </row>
    <row r="8" spans="1:11" ht="16.5" customHeight="1" x14ac:dyDescent="0.25">
      <c r="A8" s="56"/>
      <c r="B8" s="56"/>
      <c r="C8" s="197" t="s">
        <v>279</v>
      </c>
      <c r="D8" s="230"/>
      <c r="E8" s="198" t="str">
        <f>IF($F$5&gt;0,"TS3L2-SRV","")</f>
        <v/>
      </c>
      <c r="F8" s="127" t="str">
        <f>IF($F$5&gt;0,1,"")</f>
        <v/>
      </c>
      <c r="G8" s="119"/>
      <c r="H8" s="119"/>
      <c r="I8" s="128">
        <f>VLOOKUP($C8,TS3L2_ALL,10,FALSE)</f>
        <v>2088</v>
      </c>
      <c r="J8" s="120"/>
      <c r="K8" s="128" t="str">
        <f>VLOOKUP($C8,TS3L2_ALL,12,FALSE)</f>
        <v>L2N01</v>
      </c>
    </row>
    <row r="9" spans="1:11" ht="15.75" customHeight="1" x14ac:dyDescent="0.25">
      <c r="A9" s="56"/>
      <c r="B9" s="56"/>
      <c r="C9" s="194"/>
      <c r="D9" s="56"/>
      <c r="E9" s="194"/>
      <c r="F9" s="124"/>
      <c r="G9" s="119"/>
      <c r="H9" s="119"/>
      <c r="I9" s="121"/>
      <c r="J9" s="120"/>
      <c r="K9" s="120"/>
    </row>
    <row r="10" spans="1:11" ht="15.75" customHeight="1" thickBot="1" x14ac:dyDescent="0.3">
      <c r="A10" s="56"/>
      <c r="B10" s="56"/>
      <c r="C10" s="188" t="s">
        <v>2</v>
      </c>
      <c r="D10" s="230" t="str">
        <f>HYPERLINK("https://dellservervr.dell.com/poweredge-t640/","i")</f>
        <v>i</v>
      </c>
      <c r="E10" s="194"/>
      <c r="F10" s="124"/>
      <c r="G10" s="119"/>
      <c r="H10" s="119"/>
      <c r="I10" s="121"/>
      <c r="J10" s="120"/>
      <c r="K10" s="120"/>
    </row>
    <row r="11" spans="1:11" ht="16.5" customHeight="1" thickTop="1" thickBot="1" x14ac:dyDescent="0.25">
      <c r="A11" s="56"/>
      <c r="B11" s="56"/>
      <c r="C11" s="200" t="s">
        <v>370</v>
      </c>
      <c r="D11" s="230"/>
      <c r="E11" s="197" t="str">
        <f>VLOOKUP($C$11,TS3L2_Chassis,13,FALSE)</f>
        <v/>
      </c>
      <c r="F11" s="151" t="str">
        <f>VLOOKUP($C$11,TS3L2_Chassis,7,FALSE)</f>
        <v/>
      </c>
      <c r="G11" s="119"/>
      <c r="H11" s="119"/>
      <c r="I11" s="128">
        <f>VLOOKUP($C$11,TS3L2_Chassis,10,FALSE)</f>
        <v>0</v>
      </c>
      <c r="J11" s="128">
        <f>VLOOKUP($C11,TS3L2_Chassis,11,FALSE)</f>
        <v>0</v>
      </c>
      <c r="K11" s="128" t="str">
        <f>VLOOKUP($C11,TS3L2_Chassis,12,FALSE)</f>
        <v/>
      </c>
    </row>
    <row r="12" spans="1:11" ht="15.75" customHeight="1" thickTop="1" x14ac:dyDescent="0.25">
      <c r="A12" s="56"/>
      <c r="B12" s="56"/>
      <c r="C12" s="194"/>
      <c r="D12" s="56"/>
      <c r="E12" s="194"/>
      <c r="F12" s="124"/>
      <c r="G12" s="119"/>
      <c r="H12" s="119"/>
      <c r="I12" s="121"/>
      <c r="J12" s="120"/>
      <c r="K12" s="120"/>
    </row>
    <row r="13" spans="1:11" ht="15.75" customHeight="1" x14ac:dyDescent="0.25">
      <c r="A13" s="56"/>
      <c r="B13" s="56"/>
      <c r="C13" s="188" t="s">
        <v>3</v>
      </c>
      <c r="D13" s="56"/>
      <c r="F13" s="124"/>
      <c r="G13" s="119"/>
      <c r="H13" s="119"/>
      <c r="I13" s="121"/>
      <c r="J13" s="120"/>
      <c r="K13" s="120"/>
    </row>
    <row r="14" spans="1:11" ht="16.5" customHeight="1" x14ac:dyDescent="0.25">
      <c r="A14" s="56"/>
      <c r="B14" s="56"/>
      <c r="C14" s="197" t="s">
        <v>4</v>
      </c>
      <c r="D14" s="56"/>
      <c r="E14" s="194"/>
      <c r="F14" s="124"/>
      <c r="G14" s="119"/>
      <c r="H14" s="119"/>
      <c r="I14" s="121"/>
      <c r="J14" s="120"/>
      <c r="K14" s="120"/>
    </row>
    <row r="15" spans="1:11" ht="15.75" customHeight="1" x14ac:dyDescent="0.25">
      <c r="A15" s="56"/>
      <c r="B15" s="56"/>
      <c r="C15" s="194"/>
      <c r="D15" s="56"/>
      <c r="E15" s="194"/>
      <c r="F15" s="124"/>
      <c r="G15" s="119"/>
      <c r="H15" s="119"/>
      <c r="I15" s="121"/>
      <c r="J15" s="120"/>
      <c r="K15" s="120"/>
    </row>
    <row r="16" spans="1:11" ht="15.75" customHeight="1" x14ac:dyDescent="0.25">
      <c r="A16" s="56"/>
      <c r="B16" s="56"/>
      <c r="C16" s="188" t="s">
        <v>5</v>
      </c>
      <c r="D16" s="230" t="str">
        <f>HYPERLINK("https://ark.intel.com/content/www/it/it/ark/products/193385/intel-xeon-silver-4214-processor-16-5m-cache-2-20-ghz.html","i")</f>
        <v>i</v>
      </c>
      <c r="E16" s="194"/>
      <c r="F16" s="124"/>
      <c r="G16" s="119"/>
      <c r="H16" s="119"/>
      <c r="I16" s="121"/>
      <c r="J16" s="120"/>
      <c r="K16" s="120"/>
    </row>
    <row r="17" spans="1:11" ht="16.5" customHeight="1" x14ac:dyDescent="0.25">
      <c r="A17" s="56"/>
      <c r="B17" s="56"/>
      <c r="C17" s="197" t="s">
        <v>371</v>
      </c>
      <c r="D17" s="230"/>
      <c r="E17" s="194"/>
      <c r="F17" s="124"/>
      <c r="G17" s="119"/>
      <c r="H17" s="119"/>
      <c r="I17" s="121"/>
      <c r="J17" s="120"/>
      <c r="K17" s="120"/>
    </row>
    <row r="18" spans="1:11" ht="15.75" customHeight="1" x14ac:dyDescent="0.25">
      <c r="A18" s="56"/>
      <c r="B18" s="56"/>
      <c r="C18" s="202"/>
      <c r="D18" s="56"/>
      <c r="E18" s="194"/>
      <c r="F18" s="124"/>
      <c r="G18" s="119"/>
      <c r="H18" s="119"/>
      <c r="I18" s="121"/>
      <c r="J18" s="120"/>
      <c r="K18" s="120"/>
    </row>
    <row r="19" spans="1:11" ht="15.75" customHeight="1" thickBot="1" x14ac:dyDescent="0.3">
      <c r="A19" s="56"/>
      <c r="B19" s="56"/>
      <c r="C19" s="188" t="s">
        <v>374</v>
      </c>
      <c r="D19" s="56"/>
      <c r="E19" s="194"/>
      <c r="F19" s="124"/>
      <c r="G19" s="119"/>
      <c r="H19" s="119"/>
      <c r="I19" s="121"/>
      <c r="J19" s="120"/>
      <c r="K19" s="120"/>
    </row>
    <row r="20" spans="1:11" ht="16.5" customHeight="1" thickTop="1" thickBot="1" x14ac:dyDescent="0.3">
      <c r="A20" s="56"/>
      <c r="B20" s="56"/>
      <c r="C20" s="200" t="s">
        <v>373</v>
      </c>
      <c r="D20" s="56"/>
      <c r="E20" s="197" t="str">
        <f>VLOOKUP($C$20,TS3L2_CPU,13,FALSE)</f>
        <v/>
      </c>
      <c r="F20" s="151">
        <f>VLOOKUP($C$20,TS3L2_CPU,7,FALSE)</f>
        <v>0</v>
      </c>
      <c r="G20" s="119"/>
      <c r="H20" s="119"/>
      <c r="I20" s="128">
        <f>VLOOKUP($C$20,TS3L2_CPU,10,FALSE)</f>
        <v>0</v>
      </c>
      <c r="J20" s="120"/>
      <c r="K20" s="128" t="str">
        <f>VLOOKUP($C20,TS3L2_ALL,12,FALSE)</f>
        <v/>
      </c>
    </row>
    <row r="21" spans="1:11" ht="15.75" customHeight="1" thickTop="1" x14ac:dyDescent="0.25">
      <c r="A21" s="56"/>
      <c r="B21" s="56"/>
      <c r="C21" s="194"/>
      <c r="D21" s="56"/>
      <c r="E21" s="194"/>
      <c r="F21" s="124"/>
      <c r="G21" s="119"/>
      <c r="H21" s="119"/>
      <c r="I21" s="121"/>
      <c r="J21" s="120"/>
      <c r="K21" s="120"/>
    </row>
    <row r="22" spans="1:11" ht="15.75" customHeight="1" thickBot="1" x14ac:dyDescent="0.3">
      <c r="A22" s="56"/>
      <c r="B22" s="56"/>
      <c r="C22" s="199" t="s">
        <v>6</v>
      </c>
      <c r="D22" s="56"/>
      <c r="E22" s="194"/>
      <c r="F22" s="194"/>
      <c r="G22" s="119"/>
      <c r="H22" s="119"/>
      <c r="I22" s="120"/>
      <c r="J22" s="120"/>
      <c r="K22" s="120"/>
    </row>
    <row r="23" spans="1:11" ht="16.5" customHeight="1" thickTop="1" thickBot="1" x14ac:dyDescent="0.3">
      <c r="A23" s="56"/>
      <c r="B23" s="56"/>
      <c r="C23" s="200" t="s">
        <v>24</v>
      </c>
      <c r="D23" s="56"/>
      <c r="E23" s="197" t="str">
        <f>VLOOKUP($C$23,TS3L2_RAM,13,FALSE)</f>
        <v/>
      </c>
      <c r="F23" s="151">
        <f>VLOOKUP($C$23,TS3L2_RAM,7,FALSE)</f>
        <v>0</v>
      </c>
      <c r="G23" s="119"/>
      <c r="H23" s="119"/>
      <c r="I23" s="128">
        <f>VLOOKUP($C$23,TS3L2_RAM,10,FALSE)</f>
        <v>0</v>
      </c>
      <c r="J23" s="120"/>
      <c r="K23" s="128" t="str">
        <f>VLOOKUP($C23,TS3L2_ALL,12,FALSE)</f>
        <v/>
      </c>
    </row>
    <row r="24" spans="1:11" ht="15.75" customHeight="1" thickTop="1" x14ac:dyDescent="0.25">
      <c r="A24" s="56"/>
      <c r="B24" s="56"/>
      <c r="D24" s="56"/>
      <c r="E24" s="194"/>
      <c r="F24" s="124"/>
      <c r="G24" s="119"/>
      <c r="H24" s="119"/>
      <c r="I24" s="121"/>
      <c r="J24" s="120"/>
      <c r="K24" s="120"/>
    </row>
    <row r="25" spans="1:11" ht="15.75" customHeight="1" thickBot="1" x14ac:dyDescent="0.3">
      <c r="A25" s="56"/>
      <c r="B25" s="56"/>
      <c r="C25" s="203" t="s">
        <v>7</v>
      </c>
      <c r="D25" s="56"/>
      <c r="E25" s="194"/>
      <c r="F25" s="194"/>
      <c r="G25" s="119"/>
      <c r="H25" s="119"/>
      <c r="I25" s="120"/>
      <c r="J25" s="120"/>
      <c r="K25" s="120"/>
    </row>
    <row r="26" spans="1:11" ht="16.5" customHeight="1" thickTop="1" thickBot="1" x14ac:dyDescent="0.3">
      <c r="A26" s="56"/>
      <c r="B26" s="56"/>
      <c r="C26" s="200" t="s">
        <v>30</v>
      </c>
      <c r="D26" s="56"/>
      <c r="E26" s="197" t="str">
        <f>VLOOKUP($C$26,TS3L2_OS,13,FALSE)</f>
        <v/>
      </c>
      <c r="F26" s="151" t="str">
        <f>VLOOKUP($C$26,TS3L2_OS,7,FALSE)</f>
        <v/>
      </c>
      <c r="G26" s="119"/>
      <c r="H26" s="119"/>
      <c r="I26" s="128">
        <f>VLOOKUP($C$26,TS3L2_OS,10,FALSE)</f>
        <v>0</v>
      </c>
      <c r="J26" s="120"/>
      <c r="K26" s="128" t="str">
        <f>VLOOKUP($C26,TS3L2_ALL,12,FALSE)</f>
        <v/>
      </c>
    </row>
    <row r="27" spans="1:11" ht="15.75" customHeight="1" thickTop="1" x14ac:dyDescent="0.25">
      <c r="A27" s="56"/>
      <c r="B27" s="56"/>
      <c r="C27" s="201"/>
      <c r="D27" s="56"/>
      <c r="E27" s="197" t="str">
        <f>IF(F20=1,VLOOKUP($C$26,TS3L2_OS,20,FALSE),"")</f>
        <v/>
      </c>
      <c r="F27" s="151">
        <f>IF(F20=1,VLOOKUP($C$26,TS3L2_OS,14,FALSE),0)</f>
        <v>0</v>
      </c>
      <c r="G27" s="119"/>
      <c r="H27" s="119"/>
      <c r="I27" s="128">
        <f>IF(F20=1,VLOOKUP($C$26,TS3L2_OS,17,FALSE),0)</f>
        <v>0</v>
      </c>
      <c r="J27" s="120"/>
      <c r="K27" s="128" t="str">
        <f>IF(F20=1,VLOOKUP($C26,TS3L2_OS,19,FALSE),"")</f>
        <v/>
      </c>
    </row>
    <row r="28" spans="1:11" ht="15.75" customHeight="1" thickBot="1" x14ac:dyDescent="0.3">
      <c r="A28" s="56"/>
      <c r="B28" s="56"/>
      <c r="C28" s="204" t="s">
        <v>398</v>
      </c>
      <c r="D28" s="230" t="str">
        <f>IF(J29&gt;0,HYPERLINK("https://convenzioni.converge.it/docs/ts3_datasheet/dellemc-poweredge-raid-controller-h740p.pdf","i"),HYPERLINK("https://convenzioni.converge.it/docs/ts3_datasheet/DELL_H730.pdf","i"))</f>
        <v>i</v>
      </c>
      <c r="F28" s="124"/>
      <c r="G28" s="119"/>
      <c r="H28" s="119"/>
      <c r="I28" s="121"/>
      <c r="J28" s="120"/>
      <c r="K28" s="120"/>
    </row>
    <row r="29" spans="1:11" ht="16.5" customHeight="1" thickTop="1" thickBot="1" x14ac:dyDescent="0.25">
      <c r="A29" s="56"/>
      <c r="B29" s="56"/>
      <c r="C29" s="200" t="s">
        <v>397</v>
      </c>
      <c r="D29" s="230"/>
      <c r="E29" s="197" t="str">
        <f>VLOOKUP($C$29,TS3L2_ALL,13,FALSE)</f>
        <v/>
      </c>
      <c r="F29" s="151" t="str">
        <f>VLOOKUP($C$29,TS3L2_ALL,7,FALSE)</f>
        <v/>
      </c>
      <c r="G29" s="119"/>
      <c r="H29" s="176" t="s">
        <v>166</v>
      </c>
      <c r="I29" s="128">
        <f>VLOOKUP($C$29,TS3L2_ALL,10,FALSE)</f>
        <v>0</v>
      </c>
      <c r="J29" s="128">
        <f>VLOOKUP($C$29,TS3L2_ALL,11,FALSE)</f>
        <v>0</v>
      </c>
      <c r="K29" s="128" t="str">
        <f>VLOOKUP($C29,TS3L2_ALL,12,FALSE)</f>
        <v/>
      </c>
    </row>
    <row r="30" spans="1:11" ht="15.75" customHeight="1" thickTop="1" x14ac:dyDescent="0.25">
      <c r="A30" s="56"/>
      <c r="B30" s="56"/>
      <c r="C30" s="194"/>
      <c r="D30" s="56"/>
      <c r="E30" s="194"/>
      <c r="F30" s="124"/>
      <c r="G30" s="119"/>
      <c r="H30" s="231" t="s">
        <v>259</v>
      </c>
      <c r="I30" s="121"/>
      <c r="J30" s="120"/>
      <c r="K30" s="120"/>
    </row>
    <row r="31" spans="1:11" ht="15" customHeight="1" x14ac:dyDescent="0.25">
      <c r="A31" s="56"/>
      <c r="B31" s="56"/>
      <c r="C31" s="234" t="s">
        <v>396</v>
      </c>
      <c r="D31" s="56"/>
      <c r="E31" s="151" t="s">
        <v>394</v>
      </c>
      <c r="F31" s="151" t="s">
        <v>395</v>
      </c>
      <c r="G31" s="119"/>
      <c r="H31" s="232"/>
      <c r="I31" s="121"/>
      <c r="J31" s="120"/>
      <c r="K31" s="120"/>
    </row>
    <row r="32" spans="1:11" ht="15" customHeight="1" x14ac:dyDescent="0.25">
      <c r="A32" s="56"/>
      <c r="B32" s="56"/>
      <c r="C32" s="234"/>
      <c r="D32" s="56"/>
      <c r="E32" s="152">
        <f>F34+F36+F38+F40+F42</f>
        <v>2</v>
      </c>
      <c r="F32" s="152">
        <f>16-E32</f>
        <v>14</v>
      </c>
      <c r="G32" s="119"/>
      <c r="H32" s="232"/>
      <c r="I32" s="121"/>
      <c r="J32" s="120"/>
      <c r="K32" s="120"/>
    </row>
    <row r="33" spans="1:11" ht="15.75" customHeight="1" thickBot="1" x14ac:dyDescent="0.3">
      <c r="A33" s="56"/>
      <c r="B33" s="56"/>
      <c r="C33" s="194"/>
      <c r="D33" s="56"/>
      <c r="E33" s="194"/>
      <c r="F33" s="124"/>
      <c r="G33" s="119"/>
      <c r="H33" s="232"/>
      <c r="I33" s="121"/>
      <c r="J33" s="120"/>
      <c r="K33" s="120"/>
    </row>
    <row r="34" spans="1:11" ht="16.5" customHeight="1" thickTop="1" thickBot="1" x14ac:dyDescent="0.25">
      <c r="A34" s="56"/>
      <c r="B34" s="56"/>
      <c r="C34" s="197" t="s">
        <v>620</v>
      </c>
      <c r="D34" s="56"/>
      <c r="E34" s="206" t="str">
        <f>VLOOKUP($C34,TS3L2_HDD,13,FALSE)</f>
        <v>TS3L2-HDD2TB</v>
      </c>
      <c r="F34" s="207"/>
      <c r="G34" s="119"/>
      <c r="H34" s="232"/>
      <c r="I34" s="128">
        <f>VLOOKUP($C34,TS3L2_HDD,10,FALSE)*F34</f>
        <v>0</v>
      </c>
      <c r="J34" s="128">
        <f>VLOOKUP($C34,TS3L2_HDD,11,FALSE)</f>
        <v>0</v>
      </c>
      <c r="K34" s="128" t="str">
        <f>VLOOKUP($C34,TS3L2_ALL,12,FALSE)</f>
        <v>L2N05</v>
      </c>
    </row>
    <row r="35" spans="1:11" ht="15.75" customHeight="1" thickTop="1" thickBot="1" x14ac:dyDescent="0.3">
      <c r="A35" s="56"/>
      <c r="B35" s="56"/>
      <c r="C35" s="194"/>
      <c r="D35" s="56"/>
      <c r="E35" s="194"/>
      <c r="F35" s="124"/>
      <c r="G35" s="119"/>
      <c r="H35" s="232"/>
      <c r="I35" s="121"/>
      <c r="J35" s="120"/>
      <c r="K35" s="120"/>
    </row>
    <row r="36" spans="1:11" ht="16.5" customHeight="1" thickTop="1" thickBot="1" x14ac:dyDescent="0.25">
      <c r="A36" s="56"/>
      <c r="B36" s="56"/>
      <c r="C36" s="197" t="str">
        <f>ConfigurationTS3L2!A44</f>
        <v>1.2TB 10K RPM SAS 12Gbps 2.5in Hot-plug</v>
      </c>
      <c r="D36" s="56"/>
      <c r="E36" s="206" t="str">
        <f>VLOOKUP($C36,TS3L2_HDD,13,FALSE)</f>
        <v>TS3L2-HDD1TB</v>
      </c>
      <c r="F36" s="207"/>
      <c r="G36" s="119"/>
      <c r="H36" s="232"/>
      <c r="I36" s="128">
        <f>VLOOKUP($C36,TS3L2_HDD,10,FALSE)*F36</f>
        <v>0</v>
      </c>
      <c r="J36" s="128">
        <f>VLOOKUP($C36,TS3L2_HDD,11,FALSE)</f>
        <v>0</v>
      </c>
      <c r="K36" s="128" t="str">
        <f>VLOOKUP($C36,TS3L2_ALL,12,FALSE)</f>
        <v>L2N06</v>
      </c>
    </row>
    <row r="37" spans="1:11" ht="15.75" customHeight="1" thickTop="1" thickBot="1" x14ac:dyDescent="0.3">
      <c r="A37" s="56"/>
      <c r="B37" s="56"/>
      <c r="C37" s="194"/>
      <c r="D37" s="56"/>
      <c r="E37" s="194"/>
      <c r="F37" s="124"/>
      <c r="G37" s="119"/>
      <c r="H37" s="232"/>
      <c r="I37" s="121"/>
      <c r="J37" s="120"/>
      <c r="K37" s="120"/>
    </row>
    <row r="38" spans="1:11" ht="16.5" customHeight="1" thickTop="1" thickBot="1" x14ac:dyDescent="0.25">
      <c r="A38" s="56"/>
      <c r="B38" s="56"/>
      <c r="C38" s="197" t="str">
        <f>ConfigurationTS3L2!A45</f>
        <v>300GB 15K RPM SAS 12Gbps 2.5in Hot-plug</v>
      </c>
      <c r="D38" s="56"/>
      <c r="E38" s="206" t="str">
        <f>VLOOKUP($C38,TS3L2_HDD,13,FALSE)</f>
        <v>TS3L2-HDD300GB</v>
      </c>
      <c r="F38" s="207"/>
      <c r="G38" s="119"/>
      <c r="H38" s="232"/>
      <c r="I38" s="128">
        <f>VLOOKUP($C38,TS3L2_HDD,10,FALSE)*F38</f>
        <v>0</v>
      </c>
      <c r="J38" s="128">
        <f>VLOOKUP($C38,TS3L2_HDD,11,FALSE)</f>
        <v>0</v>
      </c>
      <c r="K38" s="128" t="str">
        <f>VLOOKUP($C38,TS3L2_ALL,12,FALSE)</f>
        <v>L2N07</v>
      </c>
    </row>
    <row r="39" spans="1:11" ht="15.75" customHeight="1" thickTop="1" thickBot="1" x14ac:dyDescent="0.3">
      <c r="A39" s="56"/>
      <c r="B39" s="56"/>
      <c r="C39" s="194"/>
      <c r="D39" s="56"/>
      <c r="E39" s="194"/>
      <c r="F39" s="124"/>
      <c r="G39" s="119"/>
      <c r="H39" s="232"/>
      <c r="I39" s="121"/>
      <c r="J39" s="120"/>
      <c r="K39" s="120"/>
    </row>
    <row r="40" spans="1:11" ht="16.5" customHeight="1" thickTop="1" thickBot="1" x14ac:dyDescent="0.25">
      <c r="A40" s="56"/>
      <c r="B40" s="56"/>
      <c r="C40" s="197" t="str">
        <f>ConfigurationTS3L2!A46</f>
        <v>960GB SSD SAS Read Intensive 12Gbps 2.5in Hot-plug</v>
      </c>
      <c r="D40" s="56"/>
      <c r="E40" s="206" t="str">
        <f>VLOOKUP($C40,TS3L2_HDD,13,FALSE)</f>
        <v>TS3L2-RI800GB</v>
      </c>
      <c r="F40" s="207">
        <v>2</v>
      </c>
      <c r="G40" s="119"/>
      <c r="H40" s="233"/>
      <c r="I40" s="128">
        <f>IF(F40&gt;2,(VLOOKUP($C40,TS3L2_HDD,10,FALSE)*(F40-2)),0)</f>
        <v>0</v>
      </c>
      <c r="J40" s="128">
        <f>VLOOKUP($C40,TS3L2_HDD,11,FALSE)</f>
        <v>0</v>
      </c>
      <c r="K40" s="128" t="str">
        <f>VLOOKUP($C40,TS3L2_ALL,12,FALSE)</f>
        <v>L2N08</v>
      </c>
    </row>
    <row r="41" spans="1:11" ht="15.75" customHeight="1" thickTop="1" x14ac:dyDescent="0.25">
      <c r="A41" s="56"/>
      <c r="B41" s="56"/>
      <c r="C41" s="194"/>
      <c r="D41" s="56"/>
      <c r="E41" s="194"/>
      <c r="F41" s="124"/>
      <c r="G41" s="119"/>
      <c r="H41" s="119"/>
      <c r="I41" s="121"/>
      <c r="J41" s="120"/>
      <c r="K41" s="120"/>
    </row>
    <row r="42" spans="1:11" ht="16.5" hidden="1" customHeight="1" thickTop="1" thickBot="1" x14ac:dyDescent="0.25">
      <c r="A42" s="56"/>
      <c r="B42" s="56"/>
      <c r="C42" s="197" t="str">
        <f>ConfigurationTS3L2!A47</f>
        <v>480GB SSD SAS Read Intensive 12Gbps 2.5in Hot-plug</v>
      </c>
      <c r="D42" s="56"/>
      <c r="E42" s="206" t="str">
        <f>VLOOKUP($C42,TS3L2_HDD,13,FALSE)</f>
        <v>TS3L2-RI400GB</v>
      </c>
      <c r="F42" s="207"/>
      <c r="G42" s="119"/>
      <c r="H42" s="119"/>
      <c r="I42" s="128">
        <f>IF(F42&gt;2,VLOOKUP($C42,TS3L2_HDD,10,FALSE)*(F42-2),0)</f>
        <v>0</v>
      </c>
      <c r="J42" s="128">
        <f>VLOOKUP($C42,TS3L2_HDD,11,FALSE)</f>
        <v>0</v>
      </c>
      <c r="K42" s="128" t="str">
        <f>VLOOKUP($C42,TS3L2_ALL,12,FALSE)</f>
        <v>L2N09</v>
      </c>
    </row>
    <row r="43" spans="1:11" ht="15.75" hidden="1" customHeight="1" thickTop="1" x14ac:dyDescent="0.25">
      <c r="A43" s="56"/>
      <c r="B43" s="56"/>
      <c r="C43" s="194"/>
      <c r="D43" s="56"/>
      <c r="E43" s="194"/>
      <c r="F43" s="124"/>
      <c r="G43" s="119"/>
      <c r="H43" s="119"/>
      <c r="I43" s="121"/>
      <c r="J43" s="120"/>
      <c r="K43" s="120"/>
    </row>
    <row r="44" spans="1:11" ht="15.75" customHeight="1" x14ac:dyDescent="0.25">
      <c r="A44" s="56"/>
      <c r="B44" s="56"/>
      <c r="C44" s="122" t="s">
        <v>8</v>
      </c>
      <c r="D44" s="56"/>
      <c r="E44" s="194"/>
      <c r="F44" s="194"/>
      <c r="G44" s="119"/>
      <c r="H44" s="119"/>
      <c r="I44" s="120"/>
      <c r="J44" s="120"/>
      <c r="K44" s="120"/>
    </row>
    <row r="45" spans="1:11" ht="16.5" customHeight="1" x14ac:dyDescent="0.25">
      <c r="A45" s="125"/>
      <c r="B45" s="56"/>
      <c r="C45" s="208" t="s">
        <v>399</v>
      </c>
      <c r="D45" s="56"/>
      <c r="E45" s="194"/>
      <c r="F45" s="194"/>
      <c r="G45" s="119"/>
      <c r="H45" s="119"/>
      <c r="I45" s="120"/>
      <c r="J45" s="120"/>
      <c r="K45" s="120"/>
    </row>
    <row r="46" spans="1:11" ht="15.75" customHeight="1" x14ac:dyDescent="0.25">
      <c r="A46" s="56"/>
      <c r="B46" s="56"/>
      <c r="C46" s="194"/>
      <c r="D46" s="56"/>
      <c r="E46" s="194"/>
      <c r="F46" s="124"/>
      <c r="G46" s="119"/>
      <c r="H46" s="119"/>
      <c r="I46" s="121"/>
      <c r="J46" s="120"/>
      <c r="K46" s="120"/>
    </row>
    <row r="47" spans="1:11" ht="15.75" customHeight="1" x14ac:dyDescent="0.25">
      <c r="A47" s="56"/>
      <c r="B47" s="56"/>
      <c r="C47" s="122" t="s">
        <v>149</v>
      </c>
      <c r="D47" s="230" t="str">
        <f>HYPERLINK("https://convenzioni.converge.it/docs/ts3_datasheet/idrac-spec-sheet.pdf","i")</f>
        <v>i</v>
      </c>
      <c r="E47" s="194"/>
      <c r="F47" s="124"/>
      <c r="G47" s="119"/>
      <c r="H47" s="119"/>
      <c r="I47" s="120"/>
      <c r="J47" s="120"/>
      <c r="K47" s="120"/>
    </row>
    <row r="48" spans="1:11" ht="16.5" customHeight="1" x14ac:dyDescent="0.25">
      <c r="A48" s="56"/>
      <c r="B48" s="56"/>
      <c r="C48" s="198" t="s">
        <v>150</v>
      </c>
      <c r="D48" s="230"/>
      <c r="E48" s="194"/>
      <c r="F48" s="124"/>
      <c r="G48" s="119"/>
      <c r="H48" s="119"/>
      <c r="I48" s="121"/>
      <c r="J48" s="120"/>
      <c r="K48" s="120"/>
    </row>
    <row r="49" spans="1:11" ht="15.75" customHeight="1" x14ac:dyDescent="0.25">
      <c r="A49" s="56"/>
      <c r="B49" s="56"/>
      <c r="C49" s="194"/>
      <c r="D49" s="56"/>
      <c r="E49" s="194"/>
      <c r="F49" s="124"/>
      <c r="G49" s="119"/>
      <c r="H49" s="119"/>
      <c r="I49" s="120"/>
      <c r="J49" s="120"/>
      <c r="K49" s="120"/>
    </row>
    <row r="50" spans="1:11" ht="15.75" customHeight="1" x14ac:dyDescent="0.25">
      <c r="A50" s="56"/>
      <c r="B50" s="56"/>
      <c r="C50" s="122" t="s">
        <v>151</v>
      </c>
      <c r="D50" s="56"/>
      <c r="E50" s="194"/>
      <c r="F50" s="124"/>
      <c r="G50" s="119"/>
      <c r="H50" s="119"/>
      <c r="I50" s="121"/>
      <c r="J50" s="120"/>
      <c r="K50" s="120"/>
    </row>
    <row r="51" spans="1:11" ht="16.5" customHeight="1" x14ac:dyDescent="0.25">
      <c r="A51" s="56"/>
      <c r="B51" s="56"/>
      <c r="C51" s="208" t="s">
        <v>400</v>
      </c>
      <c r="D51" s="56"/>
      <c r="E51" s="194"/>
      <c r="F51" s="124"/>
      <c r="G51" s="119"/>
      <c r="H51" s="119"/>
      <c r="I51" s="120"/>
      <c r="J51" s="120"/>
      <c r="K51" s="120"/>
    </row>
    <row r="52" spans="1:11" ht="15.75" customHeight="1" x14ac:dyDescent="0.25">
      <c r="A52" s="56"/>
      <c r="B52" s="56"/>
      <c r="C52" s="202"/>
      <c r="D52" s="56"/>
      <c r="E52" s="194"/>
      <c r="F52" s="124"/>
      <c r="G52" s="119"/>
      <c r="H52" s="119"/>
      <c r="I52" s="121"/>
      <c r="J52" s="120"/>
      <c r="K52" s="120"/>
    </row>
    <row r="53" spans="1:11" ht="15.75" customHeight="1" thickBot="1" x14ac:dyDescent="0.3">
      <c r="A53" s="56"/>
      <c r="B53" s="56"/>
      <c r="C53" s="212" t="s">
        <v>513</v>
      </c>
      <c r="D53" s="56"/>
      <c r="E53" s="194"/>
      <c r="F53" s="124"/>
      <c r="G53" s="119"/>
      <c r="H53" s="119"/>
      <c r="I53" s="120"/>
      <c r="J53" s="120"/>
      <c r="K53" s="120"/>
    </row>
    <row r="54" spans="1:11" ht="16.5" customHeight="1" thickTop="1" thickBot="1" x14ac:dyDescent="0.25">
      <c r="A54" s="56"/>
      <c r="B54" s="56"/>
      <c r="C54" s="200" t="s">
        <v>155</v>
      </c>
      <c r="D54" s="56"/>
      <c r="E54" s="197" t="str">
        <f>VLOOKUP($C54,TS3L2_PCI1,13,FALSE)</f>
        <v/>
      </c>
      <c r="F54" s="151" t="str">
        <f>VLOOKUP($C54,TS3L2_PCI1,7,FALSE)</f>
        <v/>
      </c>
      <c r="G54" s="119"/>
      <c r="H54" s="119"/>
      <c r="I54" s="128">
        <f>VLOOKUP($C54,TS3L2_PCI1,10,FALSE)</f>
        <v>0</v>
      </c>
      <c r="J54" s="128">
        <f>VLOOKUP($C54,TS3L2_PCI1,11,FALSE)</f>
        <v>0</v>
      </c>
      <c r="K54" s="128" t="str">
        <f>VLOOKUP($C54,TS3L2_ALL,12,FALSE)</f>
        <v/>
      </c>
    </row>
    <row r="55" spans="1:11" ht="15.75" customHeight="1" thickTop="1" x14ac:dyDescent="0.25">
      <c r="A55" s="56"/>
      <c r="B55" s="56"/>
      <c r="D55" s="56"/>
      <c r="E55" s="194"/>
      <c r="F55" s="124"/>
      <c r="G55" s="119"/>
      <c r="H55" s="119"/>
      <c r="I55" s="121"/>
      <c r="J55" s="120"/>
      <c r="K55" s="120"/>
    </row>
    <row r="56" spans="1:11" ht="15.75" customHeight="1" thickBot="1" x14ac:dyDescent="0.3">
      <c r="A56" s="56"/>
      <c r="B56" s="56"/>
      <c r="C56" s="209" t="s">
        <v>402</v>
      </c>
      <c r="D56" s="56"/>
      <c r="E56" s="194"/>
      <c r="F56" s="124"/>
      <c r="G56" s="119"/>
      <c r="H56" s="119"/>
      <c r="I56" s="120"/>
      <c r="J56" s="120"/>
      <c r="K56" s="120"/>
    </row>
    <row r="57" spans="1:11" ht="16.5" customHeight="1" thickTop="1" thickBot="1" x14ac:dyDescent="0.25">
      <c r="A57" s="56"/>
      <c r="B57" s="56"/>
      <c r="C57" s="200" t="s">
        <v>155</v>
      </c>
      <c r="D57" s="56"/>
      <c r="E57" s="197" t="str">
        <f>VLOOKUP($C57,TS3L2_PCI2,13,FALSE)</f>
        <v/>
      </c>
      <c r="F57" s="151" t="str">
        <f>VLOOKUP($C57,TS3L2_PCI2,7,FALSE)</f>
        <v/>
      </c>
      <c r="G57" s="119"/>
      <c r="H57" s="119"/>
      <c r="I57" s="128">
        <f>VLOOKUP($C57,TS3L2_PCI2,10,FALSE)</f>
        <v>0</v>
      </c>
      <c r="J57" s="128">
        <f>VLOOKUP($C57,TS3L2_PCI2,11,FALSE)</f>
        <v>0</v>
      </c>
      <c r="K57" s="128" t="str">
        <f>VLOOKUP($C57,TS3L2_ALL,12,FALSE)</f>
        <v/>
      </c>
    </row>
    <row r="58" spans="1:11" ht="15.75" customHeight="1" thickTop="1" x14ac:dyDescent="0.25">
      <c r="A58" s="56"/>
      <c r="B58" s="56"/>
      <c r="D58" s="56"/>
      <c r="E58" s="194"/>
      <c r="F58" s="124"/>
      <c r="G58" s="119"/>
      <c r="H58" s="119"/>
      <c r="I58" s="121"/>
      <c r="J58" s="120"/>
      <c r="K58" s="120"/>
    </row>
    <row r="59" spans="1:11" ht="15.75" customHeight="1" thickBot="1" x14ac:dyDescent="0.3">
      <c r="A59" s="56"/>
      <c r="B59" s="56"/>
      <c r="C59" s="209" t="s">
        <v>403</v>
      </c>
      <c r="D59" s="56"/>
      <c r="E59" s="194"/>
      <c r="F59" s="124"/>
      <c r="G59" s="119"/>
      <c r="H59" s="119"/>
      <c r="I59" s="120"/>
      <c r="J59" s="120"/>
      <c r="K59" s="120"/>
    </row>
    <row r="60" spans="1:11" ht="16.5" customHeight="1" thickTop="1" thickBot="1" x14ac:dyDescent="0.25">
      <c r="A60" s="56"/>
      <c r="B60" s="56"/>
      <c r="C60" s="200" t="s">
        <v>155</v>
      </c>
      <c r="D60" s="56"/>
      <c r="E60" s="197" t="str">
        <f>VLOOKUP($C60,TS3L2_PCI3,13,FALSE)</f>
        <v/>
      </c>
      <c r="F60" s="151" t="str">
        <f>VLOOKUP($C60,TS3L2_PCI3,7,FALSE)</f>
        <v/>
      </c>
      <c r="G60" s="119"/>
      <c r="H60" s="119"/>
      <c r="I60" s="128">
        <f>VLOOKUP($C60,TS3L2_PCI3,10,FALSE)</f>
        <v>0</v>
      </c>
      <c r="J60" s="128">
        <f>VLOOKUP($C60,TS3L2_PCI3,11,FALSE)</f>
        <v>0</v>
      </c>
      <c r="K60" s="128" t="str">
        <f>VLOOKUP($C60,TS3L2_ALL,12,FALSE)</f>
        <v/>
      </c>
    </row>
    <row r="61" spans="1:11" ht="15.75" customHeight="1" thickTop="1" x14ac:dyDescent="0.25">
      <c r="A61" s="56"/>
      <c r="B61" s="56"/>
      <c r="D61" s="56"/>
      <c r="E61" s="194"/>
      <c r="F61" s="124"/>
      <c r="G61" s="119"/>
      <c r="H61" s="119"/>
      <c r="I61" s="121"/>
      <c r="J61" s="120"/>
      <c r="K61" s="120"/>
    </row>
    <row r="62" spans="1:11" ht="15.75" customHeight="1" thickBot="1" x14ac:dyDescent="0.3">
      <c r="A62" s="56"/>
      <c r="B62" s="56"/>
      <c r="C62" s="209" t="s">
        <v>407</v>
      </c>
      <c r="D62" s="56"/>
      <c r="E62" s="194"/>
      <c r="F62" s="124"/>
      <c r="G62" s="119"/>
      <c r="H62" s="119"/>
      <c r="I62" s="120"/>
      <c r="J62" s="120"/>
      <c r="K62" s="120"/>
    </row>
    <row r="63" spans="1:11" ht="16.5" customHeight="1" thickTop="1" thickBot="1" x14ac:dyDescent="0.25">
      <c r="A63" s="56"/>
      <c r="B63" s="56"/>
      <c r="C63" s="200" t="s">
        <v>155</v>
      </c>
      <c r="D63" s="56"/>
      <c r="E63" s="197" t="str">
        <f>IF($I$20&gt;0,VLOOKUP($C63,TS3L2_PCI4,13,FALSE),"")</f>
        <v/>
      </c>
      <c r="F63" s="151" t="str">
        <f>IF($I$20&gt;0,VLOOKUP($C63,TS3L2_PCI4,7,FALSE),"")</f>
        <v/>
      </c>
      <c r="G63" s="119"/>
      <c r="H63" s="119"/>
      <c r="I63" s="128">
        <f>IF($I$20&gt;0,VLOOKUP($C63,TS3L2_PCI4,10,FALSE),0)</f>
        <v>0</v>
      </c>
      <c r="J63" s="128">
        <f>IF($I$20&gt;0,VLOOKUP($C63,TS3L2_PCI4,11,FALSE),0)</f>
        <v>0</v>
      </c>
      <c r="K63" s="128">
        <f>IF($I$20&gt;0,VLOOKUP($C63,TS3L2_ALL,12,FALSE),0)</f>
        <v>0</v>
      </c>
    </row>
    <row r="64" spans="1:11" ht="15.75" customHeight="1" thickTop="1" x14ac:dyDescent="0.25">
      <c r="A64" s="56"/>
      <c r="B64" s="56"/>
      <c r="C64" s="211"/>
      <c r="D64" s="56"/>
      <c r="E64" s="194"/>
      <c r="F64" s="124"/>
      <c r="G64" s="119"/>
      <c r="H64" s="119"/>
      <c r="I64" s="121"/>
      <c r="J64" s="120"/>
      <c r="K64" s="120"/>
    </row>
    <row r="65" spans="1:11" ht="15.75" customHeight="1" thickBot="1" x14ac:dyDescent="0.3">
      <c r="A65" s="56"/>
      <c r="B65" s="56"/>
      <c r="C65" s="209" t="s">
        <v>404</v>
      </c>
      <c r="D65" s="56"/>
      <c r="E65" s="194"/>
      <c r="F65" s="124"/>
      <c r="G65" s="119"/>
      <c r="H65" s="119"/>
      <c r="I65" s="120"/>
      <c r="J65" s="120"/>
      <c r="K65" s="120"/>
    </row>
    <row r="66" spans="1:11" ht="16.5" customHeight="1" thickTop="1" thickBot="1" x14ac:dyDescent="0.25">
      <c r="A66" s="56"/>
      <c r="B66" s="56"/>
      <c r="C66" s="200" t="s">
        <v>155</v>
      </c>
      <c r="D66" s="56"/>
      <c r="E66" s="197" t="str">
        <f>IF($I$20&gt;0,VLOOKUP($C66,TS3L2_PCI5,13,FALSE),"")</f>
        <v/>
      </c>
      <c r="F66" s="151" t="str">
        <f>IF($I$20&gt;0,VLOOKUP($C66,TS3L2_PCI5,7,FALSE),"")</f>
        <v/>
      </c>
      <c r="G66" s="119"/>
      <c r="H66" s="119"/>
      <c r="I66" s="128">
        <f>IF($I$20&gt;0,VLOOKUP($C66,TS3L2_PCI5,10,FALSE),0)</f>
        <v>0</v>
      </c>
      <c r="J66" s="128">
        <f>IF($I$20&gt;0,VLOOKUP($C66,TS3L2_PCI5,11,FALSE),0)</f>
        <v>0</v>
      </c>
      <c r="K66" s="128">
        <f>IF($I$20&gt;0,VLOOKUP($C66,TS3L2_ALL,12,FALSE),0)</f>
        <v>0</v>
      </c>
    </row>
    <row r="67" spans="1:11" ht="15.75" customHeight="1" thickTop="1" x14ac:dyDescent="0.25">
      <c r="A67" s="56"/>
      <c r="B67" s="56"/>
      <c r="D67" s="56"/>
      <c r="E67" s="194"/>
      <c r="F67" s="124"/>
      <c r="G67" s="119"/>
      <c r="H67" s="119"/>
      <c r="I67" s="121"/>
      <c r="J67" s="120"/>
      <c r="K67" s="120"/>
    </row>
    <row r="68" spans="1:11" ht="15.75" customHeight="1" thickBot="1" x14ac:dyDescent="0.3">
      <c r="A68" s="56"/>
      <c r="B68" s="56"/>
      <c r="C68" s="209" t="s">
        <v>405</v>
      </c>
      <c r="D68" s="56"/>
      <c r="E68" s="194"/>
      <c r="F68" s="124"/>
      <c r="G68" s="119"/>
      <c r="H68" s="119"/>
      <c r="I68" s="120"/>
      <c r="J68" s="120"/>
      <c r="K68" s="120"/>
    </row>
    <row r="69" spans="1:11" ht="16.5" customHeight="1" thickTop="1" thickBot="1" x14ac:dyDescent="0.25">
      <c r="A69" s="56"/>
      <c r="B69" s="56"/>
      <c r="C69" s="200" t="s">
        <v>155</v>
      </c>
      <c r="D69" s="56"/>
      <c r="E69" s="197" t="str">
        <f>IF($I$20&gt;0,VLOOKUP($C69,TS3L2_PCI6,13,FALSE),"")</f>
        <v/>
      </c>
      <c r="F69" s="151" t="str">
        <f>IF($I$20&gt;0,VLOOKUP($C69,TS3L2_PCI6,7,FALSE),"")</f>
        <v/>
      </c>
      <c r="G69" s="119"/>
      <c r="H69" s="119"/>
      <c r="I69" s="128">
        <f>IF($I$20&gt;0,VLOOKUP($C69,TS3L2_PCI6,10,FALSE),0)</f>
        <v>0</v>
      </c>
      <c r="J69" s="128">
        <f>IF($I$20&gt;0,VLOOKUP($C69,TS3L2_PCI6,11,FALSE),0)</f>
        <v>0</v>
      </c>
      <c r="K69" s="128">
        <f>IF($I$20&gt;0,VLOOKUP($C69,TS3L2_ALL,12,FALSE),0)</f>
        <v>0</v>
      </c>
    </row>
    <row r="70" spans="1:11" ht="15.75" customHeight="1" thickTop="1" x14ac:dyDescent="0.25">
      <c r="A70" s="56"/>
      <c r="B70" s="56"/>
      <c r="D70" s="56"/>
      <c r="E70" s="194"/>
      <c r="F70" s="124"/>
      <c r="G70" s="119"/>
      <c r="H70" s="119"/>
      <c r="I70" s="121"/>
      <c r="J70" s="120"/>
      <c r="K70" s="120"/>
    </row>
    <row r="71" spans="1:11" ht="15.75" customHeight="1" thickBot="1" x14ac:dyDescent="0.3">
      <c r="A71" s="56"/>
      <c r="B71" s="56"/>
      <c r="C71" s="209" t="s">
        <v>401</v>
      </c>
      <c r="D71" s="56"/>
      <c r="E71" s="194"/>
      <c r="F71" s="124"/>
      <c r="G71" s="119"/>
      <c r="H71" s="119"/>
      <c r="I71" s="120"/>
      <c r="J71" s="120"/>
      <c r="K71" s="120"/>
    </row>
    <row r="72" spans="1:11" ht="16.5" customHeight="1" thickTop="1" thickBot="1" x14ac:dyDescent="0.25">
      <c r="A72" s="56"/>
      <c r="B72" s="56"/>
      <c r="C72" s="200" t="s">
        <v>155</v>
      </c>
      <c r="D72" s="56"/>
      <c r="E72" s="197" t="str">
        <f>IF($I$20&gt;0,VLOOKUP($C72,TS3L2_PCI7,13,FALSE),"")</f>
        <v/>
      </c>
      <c r="F72" s="151" t="str">
        <f>IF($I$20&gt;0,VLOOKUP($C72,TS3L2_PCI7,7,FALSE),"")</f>
        <v/>
      </c>
      <c r="G72" s="119"/>
      <c r="H72" s="119"/>
      <c r="I72" s="128">
        <f>IF($I$20&gt;0,VLOOKUP($C72,TS3L2_PCI7,10,FALSE),0)</f>
        <v>0</v>
      </c>
      <c r="J72" s="128">
        <f>IF($I$20&gt;0,VLOOKUP($C72,TS3L2_PCI7,11,FALSE),0)</f>
        <v>0</v>
      </c>
      <c r="K72" s="128">
        <f>IF($I$20&gt;0,VLOOKUP($C72,TS3L2_ALL,12,FALSE),0)</f>
        <v>0</v>
      </c>
    </row>
    <row r="73" spans="1:11" ht="15.75" customHeight="1" thickTop="1" x14ac:dyDescent="0.25">
      <c r="A73" s="56"/>
      <c r="B73" s="56"/>
      <c r="D73" s="56"/>
      <c r="E73" s="194"/>
      <c r="F73" s="124"/>
      <c r="G73" s="119"/>
      <c r="H73" s="119"/>
      <c r="I73" s="121"/>
      <c r="J73" s="120"/>
      <c r="K73" s="120"/>
    </row>
    <row r="74" spans="1:11" ht="15.75" customHeight="1" thickBot="1" x14ac:dyDescent="0.3">
      <c r="A74" s="56"/>
      <c r="B74" s="56"/>
      <c r="C74" s="209" t="s">
        <v>406</v>
      </c>
      <c r="D74" s="56"/>
      <c r="E74" s="194"/>
      <c r="F74" s="124"/>
      <c r="G74" s="119"/>
      <c r="H74" s="119"/>
      <c r="I74" s="120"/>
      <c r="J74" s="120"/>
      <c r="K74" s="120"/>
    </row>
    <row r="75" spans="1:11" ht="16.5" customHeight="1" thickTop="1" thickBot="1" x14ac:dyDescent="0.25">
      <c r="A75" s="56"/>
      <c r="B75" s="56"/>
      <c r="C75" s="200" t="s">
        <v>155</v>
      </c>
      <c r="D75" s="56"/>
      <c r="E75" s="197" t="str">
        <f>IF($I$20&gt;0,VLOOKUP($C75,TS3L2_PCI8,13,FALSE),"")</f>
        <v/>
      </c>
      <c r="F75" s="151" t="str">
        <f>IF($I$20&gt;0,VLOOKUP($C75,TS3L2_PCI8,7,FALSE),"")</f>
        <v/>
      </c>
      <c r="G75" s="119"/>
      <c r="H75" s="119"/>
      <c r="I75" s="128">
        <f>IF($I$20&gt;0,VLOOKUP($C75,TS3L2_PCI8,10,FALSE),0)</f>
        <v>0</v>
      </c>
      <c r="J75" s="128">
        <f>IF($I$20&gt;0,VLOOKUP($C75,TS3L2_PCI8,11,FALSE),0)</f>
        <v>0</v>
      </c>
      <c r="K75" s="128">
        <f>IF(I$20&gt;0,VLOOKUP($C75,TS3L2_ALL,12,FALSE),0)</f>
        <v>0</v>
      </c>
    </row>
    <row r="76" spans="1:11" ht="15.75" customHeight="1" thickTop="1" x14ac:dyDescent="0.25">
      <c r="A76" s="56"/>
      <c r="B76" s="56"/>
      <c r="C76" s="211"/>
      <c r="D76" s="56"/>
      <c r="E76" s="194"/>
      <c r="F76" s="124"/>
      <c r="G76" s="119"/>
      <c r="H76" s="119"/>
      <c r="I76" s="121"/>
      <c r="J76" s="120"/>
      <c r="K76" s="120"/>
    </row>
    <row r="77" spans="1:11" ht="15" hidden="1" customHeight="1" thickBot="1" x14ac:dyDescent="0.3">
      <c r="A77" s="56"/>
      <c r="B77" s="56"/>
      <c r="C77" s="212" t="s">
        <v>558</v>
      </c>
      <c r="D77" s="56"/>
      <c r="E77" s="194"/>
      <c r="F77" s="124"/>
      <c r="G77" s="119"/>
      <c r="H77" s="119"/>
      <c r="I77" s="121"/>
      <c r="J77" s="120"/>
      <c r="K77" s="120"/>
    </row>
    <row r="78" spans="1:11" ht="15" hidden="1" customHeight="1" thickTop="1" thickBot="1" x14ac:dyDescent="0.25">
      <c r="A78" s="56"/>
      <c r="B78" s="56"/>
      <c r="C78" s="213" t="s">
        <v>532</v>
      </c>
      <c r="D78" s="56"/>
      <c r="E78" s="197" t="str">
        <f>IF(J78&gt;0,VLOOKUP($C78,ConfigurationTS3L2!$A$1:$M$4993,13,FALSE),"")</f>
        <v/>
      </c>
      <c r="F78" s="207"/>
      <c r="G78" s="119"/>
      <c r="H78" s="119"/>
      <c r="I78" s="128">
        <v>0</v>
      </c>
      <c r="J78" s="128">
        <f>F78*ConfigurationTS3L2!K121</f>
        <v>0</v>
      </c>
      <c r="K78" s="128">
        <f>IF(F78&gt;0,VLOOKUP($C78,TS3L2_ALL,12,FALSE),0)</f>
        <v>0</v>
      </c>
    </row>
    <row r="79" spans="1:11" ht="15" hidden="1" customHeight="1" thickTop="1" x14ac:dyDescent="0.25">
      <c r="A79" s="56"/>
      <c r="B79" s="56"/>
      <c r="C79" s="211"/>
      <c r="D79" s="56"/>
      <c r="E79" s="194"/>
      <c r="F79" s="124"/>
      <c r="G79" s="119"/>
      <c r="H79" s="119"/>
      <c r="I79" s="121"/>
      <c r="J79" s="120"/>
      <c r="K79" s="120"/>
    </row>
    <row r="80" spans="1:11" ht="15" hidden="1" customHeight="1" thickBot="1" x14ac:dyDescent="0.3">
      <c r="A80" s="56"/>
      <c r="B80" s="56"/>
      <c r="C80" s="212" t="s">
        <v>559</v>
      </c>
      <c r="D80" s="56"/>
      <c r="E80" s="194"/>
      <c r="F80" s="124"/>
      <c r="G80" s="119"/>
      <c r="H80" s="119"/>
      <c r="I80" s="121"/>
      <c r="J80" s="120"/>
      <c r="K80" s="120"/>
    </row>
    <row r="81" spans="1:17" ht="15" hidden="1" customHeight="1" thickTop="1" thickBot="1" x14ac:dyDescent="0.25">
      <c r="A81" s="56"/>
      <c r="B81" s="56"/>
      <c r="C81" s="213" t="s">
        <v>496</v>
      </c>
      <c r="D81" s="56"/>
      <c r="E81" s="197" t="str">
        <f>IF(J81&gt;0,VLOOKUP($C81,ConfigurationTS3L2!$A$1:$M$4993,13,FALSE),"")</f>
        <v/>
      </c>
      <c r="F81" s="207"/>
      <c r="G81" s="119"/>
      <c r="H81" s="119"/>
      <c r="I81" s="128">
        <v>0</v>
      </c>
      <c r="J81" s="128">
        <f>F81*ConfigurationTS3L2!K120</f>
        <v>0</v>
      </c>
      <c r="K81" s="128">
        <f>IF(F81&gt;0,VLOOKUP($C81,TS3L2_ALL,12,FALSE),0)</f>
        <v>0</v>
      </c>
    </row>
    <row r="82" spans="1:17" ht="15" hidden="1" customHeight="1" thickTop="1" x14ac:dyDescent="0.25">
      <c r="A82" s="56"/>
      <c r="B82" s="56"/>
      <c r="C82" s="211"/>
      <c r="D82" s="56"/>
      <c r="E82" s="194"/>
      <c r="F82" s="124"/>
      <c r="G82" s="119"/>
      <c r="H82" s="119"/>
      <c r="I82" s="121"/>
      <c r="J82" s="120"/>
      <c r="K82" s="120"/>
    </row>
    <row r="83" spans="1:17" ht="15.75" customHeight="1" thickBot="1" x14ac:dyDescent="0.3">
      <c r="A83" s="56"/>
      <c r="B83" s="56"/>
      <c r="C83" s="212" t="s">
        <v>167</v>
      </c>
      <c r="D83" s="56"/>
      <c r="E83" s="194"/>
      <c r="F83" s="124"/>
      <c r="G83" s="119"/>
      <c r="H83" s="119"/>
      <c r="I83" s="121"/>
      <c r="J83" s="120"/>
      <c r="K83" s="120"/>
    </row>
    <row r="84" spans="1:17" ht="16.5" customHeight="1" thickTop="1" thickBot="1" x14ac:dyDescent="0.25">
      <c r="A84" s="56"/>
      <c r="B84" s="56"/>
      <c r="C84" s="213" t="s">
        <v>275</v>
      </c>
      <c r="D84" s="56"/>
      <c r="E84" s="206" t="str">
        <f>IF(J84&gt;0,VLOOKUP($C84,ConfigurationTS3L2!$A$1:$M$4993,13,FALSE),"")</f>
        <v>TS3L2-RJ453M</v>
      </c>
      <c r="F84" s="207">
        <v>3</v>
      </c>
      <c r="G84" s="119"/>
      <c r="H84" s="119"/>
      <c r="I84" s="128">
        <v>0</v>
      </c>
      <c r="J84" s="128">
        <f>IF(F84&gt;1,(F84-1)*ConfigurationTS3L2!K119,0)</f>
        <v>6</v>
      </c>
      <c r="K84" s="128" t="str">
        <f>IF(F84&gt;0,VLOOKUP($C84,TS3L2_ALL,12,FALSE),0)</f>
        <v>L2N26</v>
      </c>
    </row>
    <row r="85" spans="1:17" ht="15.75" customHeight="1" thickTop="1" x14ac:dyDescent="0.25">
      <c r="A85" s="56"/>
      <c r="B85" s="56"/>
      <c r="C85" s="211"/>
      <c r="D85" s="56"/>
      <c r="E85" s="194"/>
      <c r="F85" s="124"/>
      <c r="G85" s="119"/>
      <c r="H85" s="119"/>
      <c r="I85" s="121"/>
      <c r="J85" s="120"/>
      <c r="K85" s="120"/>
    </row>
    <row r="86" spans="1:17" ht="15" hidden="1" customHeight="1" thickBot="1" x14ac:dyDescent="0.3">
      <c r="A86" s="56"/>
      <c r="B86" s="56"/>
      <c r="C86" s="203" t="s">
        <v>113</v>
      </c>
      <c r="D86" s="56"/>
      <c r="E86" s="194"/>
      <c r="F86" s="124"/>
      <c r="G86" s="119"/>
      <c r="H86" s="119"/>
      <c r="I86" s="120"/>
      <c r="J86" s="120"/>
      <c r="K86" s="120"/>
    </row>
    <row r="87" spans="1:17" ht="14.25" hidden="1" thickTop="1" thickBot="1" x14ac:dyDescent="0.25">
      <c r="A87" s="56"/>
      <c r="B87" s="56"/>
      <c r="C87" s="200" t="s">
        <v>112</v>
      </c>
      <c r="D87" s="56"/>
      <c r="E87" s="197" t="str">
        <f>IF(J87&gt;0,VLOOKUP($C87,ConfigurationTS3L2!$A$1:$M$4993,13,FALSE),"")</f>
        <v/>
      </c>
      <c r="F87" s="151" t="str">
        <f>IF(C87=ConfigurationTS3L2!A151,"",VLOOKUP($C87,TS3L2_BEZEL,7,FALSE))</f>
        <v/>
      </c>
      <c r="G87" s="119"/>
      <c r="H87" s="119"/>
      <c r="I87" s="128">
        <f>IF(C87=ConfigurationTS3L2!A151,0,VLOOKUP($C87,TS3L2_BEZEL,10,FALSE))</f>
        <v>0</v>
      </c>
      <c r="J87" s="128">
        <f>IF(C87=ConfigurationTS3L2!A151,0,VLOOKUP($C87,TS3L2_BEZEL,11,FALSE))</f>
        <v>0</v>
      </c>
      <c r="K87" s="128" t="str">
        <f>IF(C87=ConfigurationTS3L2!A151,0,VLOOKUP($C87,TS3L2_ALL,12,FALSE))</f>
        <v/>
      </c>
    </row>
    <row r="88" spans="1:17" ht="15" hidden="1" customHeight="1" thickTop="1" x14ac:dyDescent="0.25">
      <c r="A88" s="125"/>
      <c r="B88" s="56"/>
      <c r="C88" s="201"/>
      <c r="D88" s="56"/>
      <c r="E88" s="194"/>
      <c r="F88" s="124"/>
      <c r="G88" s="119"/>
      <c r="H88" s="119"/>
      <c r="I88" s="121"/>
      <c r="J88" s="120"/>
      <c r="K88" s="120"/>
    </row>
    <row r="89" spans="1:17" ht="15.75" customHeight="1" thickBot="1" x14ac:dyDescent="0.3">
      <c r="A89" s="56"/>
      <c r="B89" s="56"/>
      <c r="C89" s="203" t="s">
        <v>156</v>
      </c>
      <c r="D89" s="230" t="str">
        <f>HYPERLINK("https://convenzioni.converge.it/docs/ts3_datasheet/TS3warranty.pdf","i")</f>
        <v>i</v>
      </c>
      <c r="E89" s="194"/>
      <c r="F89" s="124"/>
      <c r="G89" s="119"/>
      <c r="H89" s="119"/>
      <c r="I89" s="120"/>
      <c r="J89" s="120"/>
      <c r="K89" s="120"/>
    </row>
    <row r="90" spans="1:17" ht="16.5" customHeight="1" thickTop="1" thickBot="1" x14ac:dyDescent="0.25">
      <c r="A90" s="56"/>
      <c r="B90" s="56"/>
      <c r="C90" s="200" t="s">
        <v>134</v>
      </c>
      <c r="D90" s="230"/>
      <c r="E90" s="197" t="str">
        <f>VLOOKUP($C90,TS3L2_WARRANTY,13,FALSE)</f>
        <v/>
      </c>
      <c r="F90" s="151" t="str">
        <f>VLOOKUP($C90,TS3L2_WARRANTY,7,FALSE)</f>
        <v/>
      </c>
      <c r="G90" s="119"/>
      <c r="H90" s="119"/>
      <c r="I90" s="128">
        <f>VLOOKUP($C90,TS3L2_WARRANTY,10,FALSE)</f>
        <v>0</v>
      </c>
      <c r="J90" s="128">
        <f>VLOOKUP($C90,TS3L2_WARRANTY,11,FALSE)</f>
        <v>0</v>
      </c>
      <c r="K90" s="128" t="str">
        <f>VLOOKUP($C90,TS3L2_ALL,12,FALSE)</f>
        <v/>
      </c>
    </row>
    <row r="91" spans="1:17" ht="15.75" customHeight="1" thickTop="1" x14ac:dyDescent="0.25">
      <c r="A91" s="56"/>
      <c r="B91" s="56"/>
      <c r="C91" s="201"/>
      <c r="D91" s="56"/>
      <c r="E91" s="194"/>
      <c r="F91" s="124"/>
      <c r="G91" s="119"/>
      <c r="H91" s="119"/>
      <c r="I91" s="121"/>
      <c r="J91" s="120"/>
      <c r="K91" s="120"/>
    </row>
    <row r="92" spans="1:17" ht="15.75" customHeight="1" thickBot="1" x14ac:dyDescent="0.3">
      <c r="A92" s="125"/>
      <c r="B92" s="56"/>
      <c r="C92" s="203" t="s">
        <v>148</v>
      </c>
      <c r="D92" s="230" t="str">
        <f>HYPERLINK("https://convenzioni.converge.it/docs/ts3_datasheet/DELL_HDD_KYHD.pdf","i")</f>
        <v>i</v>
      </c>
      <c r="E92" s="194"/>
      <c r="F92" s="124"/>
      <c r="G92" s="119"/>
      <c r="H92" s="119"/>
      <c r="I92" s="120"/>
      <c r="J92" s="120"/>
      <c r="K92" s="120"/>
    </row>
    <row r="93" spans="1:17" ht="16.5" customHeight="1" thickTop="1" thickBot="1" x14ac:dyDescent="0.25">
      <c r="A93" s="56"/>
      <c r="B93" s="56"/>
      <c r="C93" s="200" t="s">
        <v>155</v>
      </c>
      <c r="D93" s="230"/>
      <c r="E93" s="197" t="str">
        <f>IFERROR($N$93,VLOOKUP($C93,TS3L2_ALL,13,FALSE))</f>
        <v/>
      </c>
      <c r="F93" s="151" t="str">
        <f>IF(C93="","",1)</f>
        <v/>
      </c>
      <c r="G93" s="119"/>
      <c r="H93" s="119"/>
      <c r="I93" s="128">
        <f>IFERROR($O$93,VLOOKUP($C93,TS3L2_ALL,10,FALSE))</f>
        <v>0</v>
      </c>
      <c r="J93" s="128">
        <f>IFERROR($P$93,VLOOKUP($C93,TS3L2_ALL,11,FALSE))</f>
        <v>0</v>
      </c>
      <c r="K93" s="128" t="str">
        <f>IFERROR($Q$93,VLOOKUP($C93,TS3L2_ALL,12,FALSE))</f>
        <v/>
      </c>
      <c r="N93" s="79" t="e">
        <f>IF($F$90+$F$93=2,VLOOKUP("Hard Disk Retention (60 mesi)",TS3L2_ALL,13,FALSE),VLOOKUP($C93,TS3L2_ALL,13,FALSE))</f>
        <v>#VALUE!</v>
      </c>
      <c r="O93" s="79" t="e">
        <f>IF($F$90+$F$93=2,VLOOKUP("Hard Disk Retention (60 mesi)",TS3L2_ALL,10,FALSE),VLOOKUP($C93,TS3L2_ALL,10,FALSE))</f>
        <v>#VALUE!</v>
      </c>
      <c r="P93" s="79" t="e">
        <f>IF($F$90+$F$93=2,VLOOKUP("Hard Disk Retention (60 mesi)",TS3L2_ALL,11,FALSE),VLOOKUP($C93,TS3L2_ALL,11,FALSE))</f>
        <v>#VALUE!</v>
      </c>
      <c r="Q93" s="79" t="e">
        <f>IF($F$90+$F$93=2,VLOOKUP("Hard Disk Retention (60 mesi)",TS3L2_ALL,12,FALSE),VLOOKUP($C93,TS3L2_ALL,12,FALSE))</f>
        <v>#VALUE!</v>
      </c>
    </row>
    <row r="94" spans="1:17" ht="15.75" customHeight="1" thickTop="1" thickBot="1" x14ac:dyDescent="0.3">
      <c r="A94" s="56"/>
      <c r="B94" s="56"/>
      <c r="C94" s="187"/>
      <c r="D94" s="56"/>
      <c r="E94" s="194"/>
      <c r="F94" s="194"/>
      <c r="G94" s="120"/>
      <c r="H94" s="119"/>
      <c r="I94" s="121"/>
      <c r="J94" s="120"/>
      <c r="K94" s="120"/>
    </row>
    <row r="95" spans="1:17" ht="15.75" customHeight="1" thickTop="1" x14ac:dyDescent="0.25">
      <c r="A95" s="129"/>
      <c r="B95" s="129"/>
      <c r="C95" s="214"/>
      <c r="D95" s="129"/>
      <c r="E95" s="215"/>
      <c r="F95" s="215"/>
      <c r="G95" s="130"/>
      <c r="H95" s="130"/>
      <c r="I95" s="131"/>
      <c r="J95" s="130"/>
      <c r="K95" s="106"/>
    </row>
    <row r="96" spans="1:17" ht="15.75" customHeight="1" thickBot="1" x14ac:dyDescent="0.3">
      <c r="A96" s="120"/>
      <c r="B96" s="120"/>
      <c r="C96" s="203" t="s">
        <v>158</v>
      </c>
      <c r="D96" s="230" t="str">
        <f>HYPERLINK("https://convenzioni.converge.it/docs/ts3_datasheet/RPMM_UPS.pdf","i")</f>
        <v>i</v>
      </c>
      <c r="E96" s="194"/>
      <c r="F96" s="124"/>
      <c r="G96" s="119"/>
      <c r="H96" s="119"/>
      <c r="I96" s="120"/>
      <c r="J96" s="120"/>
      <c r="K96" s="120"/>
    </row>
    <row r="97" spans="1:11" ht="16.5" customHeight="1" thickTop="1" thickBot="1" x14ac:dyDescent="0.25">
      <c r="A97" s="56"/>
      <c r="B97" s="56"/>
      <c r="C97" s="200" t="s">
        <v>155</v>
      </c>
      <c r="D97" s="230"/>
      <c r="E97" s="197" t="str">
        <f>VLOOKUP($C97,TS3L2_UPS,13,FALSE)</f>
        <v/>
      </c>
      <c r="F97" s="151" t="str">
        <f>VLOOKUP($C97,TS3L2_UPS,7,FALSE)</f>
        <v/>
      </c>
      <c r="G97" s="119"/>
      <c r="H97" s="119"/>
      <c r="I97" s="128">
        <f>VLOOKUP($C97,TS3L2_UPS,10,FALSE)</f>
        <v>0</v>
      </c>
      <c r="J97" s="128">
        <f>VLOOKUP($C97,TS3L2_UPS,11,FALSE)</f>
        <v>0</v>
      </c>
      <c r="K97" s="128" t="str">
        <f>VLOOKUP($C97,TS3L2_ALL,12,FALSE)</f>
        <v/>
      </c>
    </row>
    <row r="98" spans="1:11" ht="15.75" customHeight="1" thickTop="1" x14ac:dyDescent="0.25">
      <c r="A98" s="56"/>
      <c r="B98" s="56"/>
      <c r="C98" s="187"/>
      <c r="D98" s="56"/>
      <c r="E98" s="194"/>
      <c r="F98" s="194"/>
      <c r="G98" s="119"/>
      <c r="H98" s="120"/>
      <c r="I98" s="121"/>
      <c r="J98" s="120"/>
      <c r="K98" s="120"/>
    </row>
    <row r="99" spans="1:11" ht="15.75" customHeight="1" thickBot="1" x14ac:dyDescent="0.3">
      <c r="A99" s="56"/>
      <c r="B99" s="125"/>
      <c r="C99" s="203" t="s">
        <v>165</v>
      </c>
      <c r="D99" s="230" t="str">
        <f>HYPERLINK("https://convenzioni.converge.it/docs/ts3_datasheet/Dell_E1916H.pdf","i")</f>
        <v>i</v>
      </c>
      <c r="E99" s="194"/>
      <c r="F99" s="124"/>
      <c r="G99" s="119"/>
      <c r="H99" s="119"/>
      <c r="I99" s="120"/>
      <c r="J99" s="120"/>
      <c r="K99" s="120"/>
    </row>
    <row r="100" spans="1:11" ht="16.5" customHeight="1" thickTop="1" thickBot="1" x14ac:dyDescent="0.25">
      <c r="A100" s="56"/>
      <c r="B100" s="56"/>
      <c r="C100" s="200" t="s">
        <v>155</v>
      </c>
      <c r="D100" s="230"/>
      <c r="E100" s="197" t="str">
        <f>VLOOKUP($C100,TS3L2_GUI,13,FALSE)</f>
        <v/>
      </c>
      <c r="F100" s="151" t="str">
        <f>VLOOKUP($C100,TS3L2_GUI,7,FALSE)</f>
        <v/>
      </c>
      <c r="G100" s="119"/>
      <c r="H100" s="119"/>
      <c r="I100" s="128">
        <f>VLOOKUP($C100,TS3L2_GUI,10,FALSE)</f>
        <v>0</v>
      </c>
      <c r="J100" s="128">
        <f>VLOOKUP($C100,TS3L2_GUI,11,FALSE)</f>
        <v>0</v>
      </c>
      <c r="K100" s="128" t="str">
        <f>VLOOKUP($C100,TS3L2_ALL,12,FALSE)</f>
        <v/>
      </c>
    </row>
    <row r="101" spans="1:11" ht="15.75" customHeight="1" thickTop="1" x14ac:dyDescent="0.25">
      <c r="A101" s="56"/>
      <c r="B101" s="56"/>
      <c r="C101" s="187"/>
      <c r="D101" s="56"/>
      <c r="E101" s="194"/>
      <c r="F101" s="194"/>
      <c r="G101" s="119"/>
      <c r="H101" s="120"/>
      <c r="I101" s="121"/>
      <c r="J101" s="120"/>
      <c r="K101" s="120"/>
    </row>
    <row r="102" spans="1:11" ht="15" hidden="1" customHeight="1" x14ac:dyDescent="0.25"/>
    <row r="103" spans="1:11" ht="15" hidden="1" customHeight="1" x14ac:dyDescent="0.25"/>
    <row r="104" spans="1:11" ht="15" hidden="1" customHeight="1" x14ac:dyDescent="0.25"/>
    <row r="105" spans="1:11" ht="15" hidden="1" customHeight="1" x14ac:dyDescent="0.25"/>
    <row r="106" spans="1:11" ht="15" hidden="1" customHeight="1" x14ac:dyDescent="0.25"/>
    <row r="107" spans="1:11" ht="15" hidden="1" customHeight="1" x14ac:dyDescent="0.25"/>
    <row r="108" spans="1:11" ht="15" hidden="1" customHeight="1" x14ac:dyDescent="0.25"/>
    <row r="109" spans="1:11" ht="15" hidden="1" customHeight="1" x14ac:dyDescent="0.25"/>
    <row r="110" spans="1:11" ht="15" hidden="1" customHeight="1" x14ac:dyDescent="0.25"/>
    <row r="111" spans="1:11" ht="15" hidden="1" customHeight="1" x14ac:dyDescent="0.25"/>
    <row r="112" spans="1:11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</sheetData>
  <sheetProtection algorithmName="SHA-512" hashValue="7IzOqIbUuepitYXAz7xgcgS1+ZXHRnh9W1RH/l47e69cgeJi8+gdOLmK7qcYWE5ntP44mZNifkMkCeBhGh4I/A==" saltValue="zWFkCQwaItzueTKrPq2ojA==" spinCount="100000" sheet="1" objects="1" scenarios="1"/>
  <mergeCells count="11">
    <mergeCell ref="H30:H40"/>
    <mergeCell ref="C31:C32"/>
    <mergeCell ref="D7:D8"/>
    <mergeCell ref="D10:D11"/>
    <mergeCell ref="D16:D17"/>
    <mergeCell ref="D28:D29"/>
    <mergeCell ref="D47:D48"/>
    <mergeCell ref="D89:D90"/>
    <mergeCell ref="D92:D93"/>
    <mergeCell ref="D96:D97"/>
    <mergeCell ref="D99:D100"/>
  </mergeCells>
  <conditionalFormatting sqref="F11">
    <cfRule type="expression" dxfId="136" priority="49">
      <formula>$J11&gt;0</formula>
    </cfRule>
  </conditionalFormatting>
  <conditionalFormatting sqref="C45">
    <cfRule type="expression" dxfId="135" priority="107">
      <formula>$J45&gt;0</formula>
    </cfRule>
  </conditionalFormatting>
  <conditionalFormatting sqref="E57:F57">
    <cfRule type="expression" dxfId="134" priority="105">
      <formula>$J57&gt;0</formula>
    </cfRule>
  </conditionalFormatting>
  <conditionalFormatting sqref="E90:F90">
    <cfRule type="expression" dxfId="133" priority="99">
      <formula>$J90&gt;0</formula>
    </cfRule>
  </conditionalFormatting>
  <conditionalFormatting sqref="E26:F26">
    <cfRule type="expression" dxfId="132" priority="90">
      <formula>$J26&gt;0</formula>
    </cfRule>
  </conditionalFormatting>
  <conditionalFormatting sqref="E23:F23">
    <cfRule type="expression" dxfId="131" priority="88">
      <formula>$J23&gt;0</formula>
    </cfRule>
  </conditionalFormatting>
  <conditionalFormatting sqref="E100:F100">
    <cfRule type="expression" dxfId="130" priority="84">
      <formula>$J100&gt;0</formula>
    </cfRule>
  </conditionalFormatting>
  <conditionalFormatting sqref="E97:F97">
    <cfRule type="expression" dxfId="129" priority="86">
      <formula>$J97&gt;0</formula>
    </cfRule>
  </conditionalFormatting>
  <conditionalFormatting sqref="F23">
    <cfRule type="expression" dxfId="128" priority="81">
      <formula>$F$23=0</formula>
    </cfRule>
  </conditionalFormatting>
  <conditionalFormatting sqref="E20">
    <cfRule type="expression" dxfId="127" priority="79">
      <formula>$J20&gt;0</formula>
    </cfRule>
  </conditionalFormatting>
  <conditionalFormatting sqref="F20">
    <cfRule type="expression" dxfId="126" priority="78">
      <formula>$F$20=0</formula>
    </cfRule>
  </conditionalFormatting>
  <conditionalFormatting sqref="E27">
    <cfRule type="expression" dxfId="125" priority="77">
      <formula>$J27&gt;0</formula>
    </cfRule>
  </conditionalFormatting>
  <conditionalFormatting sqref="E31:F31">
    <cfRule type="expression" dxfId="124" priority="71">
      <formula>$J31&gt;0</formula>
    </cfRule>
  </conditionalFormatting>
  <conditionalFormatting sqref="E32:F32">
    <cfRule type="expression" dxfId="123" priority="70">
      <formula>$J32&gt;0</formula>
    </cfRule>
  </conditionalFormatting>
  <conditionalFormatting sqref="F32">
    <cfRule type="cellIs" dxfId="122" priority="69" operator="lessThan">
      <formula>0</formula>
    </cfRule>
  </conditionalFormatting>
  <conditionalFormatting sqref="E60:F60">
    <cfRule type="expression" dxfId="121" priority="66">
      <formula>$J60&gt;0</formula>
    </cfRule>
  </conditionalFormatting>
  <conditionalFormatting sqref="E54:F54">
    <cfRule type="expression" dxfId="120" priority="67">
      <formula>$J54&gt;0</formula>
    </cfRule>
  </conditionalFormatting>
  <conditionalFormatting sqref="E63:F63">
    <cfRule type="expression" dxfId="119" priority="65">
      <formula>$J63&gt;0</formula>
    </cfRule>
  </conditionalFormatting>
  <conditionalFormatting sqref="E66:F66">
    <cfRule type="expression" dxfId="118" priority="64">
      <formula>$J66&gt;0</formula>
    </cfRule>
  </conditionalFormatting>
  <conditionalFormatting sqref="E69:F69">
    <cfRule type="expression" dxfId="117" priority="63">
      <formula>$J69&gt;0</formula>
    </cfRule>
  </conditionalFormatting>
  <conditionalFormatting sqref="E72:F72">
    <cfRule type="expression" dxfId="116" priority="62">
      <formula>$J72&gt;0</formula>
    </cfRule>
  </conditionalFormatting>
  <conditionalFormatting sqref="E75:F75">
    <cfRule type="expression" dxfId="115" priority="61">
      <formula>$J75&gt;0</formula>
    </cfRule>
  </conditionalFormatting>
  <conditionalFormatting sqref="E11">
    <cfRule type="expression" dxfId="114" priority="55">
      <formula>$J11&gt;0</formula>
    </cfRule>
  </conditionalFormatting>
  <conditionalFormatting sqref="C78">
    <cfRule type="expression" dxfId="113" priority="51">
      <formula>$J78&gt;0</formula>
    </cfRule>
  </conditionalFormatting>
  <conditionalFormatting sqref="C81">
    <cfRule type="expression" dxfId="112" priority="54">
      <formula>$J81&gt;0</formula>
    </cfRule>
  </conditionalFormatting>
  <conditionalFormatting sqref="E81">
    <cfRule type="expression" dxfId="111" priority="52">
      <formula>$J81&gt;0</formula>
    </cfRule>
  </conditionalFormatting>
  <conditionalFormatting sqref="E78">
    <cfRule type="expression" dxfId="110" priority="50">
      <formula>$J78&gt;0</formula>
    </cfRule>
  </conditionalFormatting>
  <conditionalFormatting sqref="F87">
    <cfRule type="expression" dxfId="109" priority="46">
      <formula>$J87&gt;0</formula>
    </cfRule>
  </conditionalFormatting>
  <conditionalFormatting sqref="E87">
    <cfRule type="expression" dxfId="108" priority="45">
      <formula>$J87&gt;0</formula>
    </cfRule>
  </conditionalFormatting>
  <conditionalFormatting sqref="F27">
    <cfRule type="expression" dxfId="107" priority="44">
      <formula>$J27&gt;0</formula>
    </cfRule>
  </conditionalFormatting>
  <conditionalFormatting sqref="F27">
    <cfRule type="expression" dxfId="106" priority="43">
      <formula>$F$27=0</formula>
    </cfRule>
  </conditionalFormatting>
  <conditionalFormatting sqref="C11">
    <cfRule type="expression" dxfId="105" priority="32">
      <formula>$J11&gt;0</formula>
    </cfRule>
  </conditionalFormatting>
  <conditionalFormatting sqref="C26">
    <cfRule type="expression" dxfId="104" priority="31">
      <formula>$J26&gt;0</formula>
    </cfRule>
  </conditionalFormatting>
  <conditionalFormatting sqref="C23">
    <cfRule type="expression" dxfId="103" priority="30">
      <formula>$J23&gt;0</formula>
    </cfRule>
  </conditionalFormatting>
  <conditionalFormatting sqref="C20">
    <cfRule type="expression" dxfId="102" priority="29">
      <formula>$J20&gt;0</formula>
    </cfRule>
  </conditionalFormatting>
  <conditionalFormatting sqref="E40:F40">
    <cfRule type="expression" dxfId="101" priority="28">
      <formula>$J40&gt;0</formula>
    </cfRule>
  </conditionalFormatting>
  <conditionalFormatting sqref="E38:F38">
    <cfRule type="expression" dxfId="100" priority="27">
      <formula>$J38&gt;0</formula>
    </cfRule>
  </conditionalFormatting>
  <conditionalFormatting sqref="E36:F36">
    <cfRule type="expression" dxfId="99" priority="26">
      <formula>$J36&gt;0</formula>
    </cfRule>
  </conditionalFormatting>
  <conditionalFormatting sqref="E34:F34">
    <cfRule type="expression" dxfId="98" priority="24">
      <formula>$J34&gt;0</formula>
    </cfRule>
  </conditionalFormatting>
  <conditionalFormatting sqref="E42:F42">
    <cfRule type="expression" dxfId="97" priority="23">
      <formula>$J42&gt;0</formula>
    </cfRule>
  </conditionalFormatting>
  <conditionalFormatting sqref="C36">
    <cfRule type="expression" dxfId="96" priority="22">
      <formula>$J36&gt;0</formula>
    </cfRule>
  </conditionalFormatting>
  <conditionalFormatting sqref="C38">
    <cfRule type="expression" dxfId="95" priority="21">
      <formula>$J38&gt;0</formula>
    </cfRule>
  </conditionalFormatting>
  <conditionalFormatting sqref="C40">
    <cfRule type="expression" dxfId="94" priority="20">
      <formula>$J40&gt;0</formula>
    </cfRule>
  </conditionalFormatting>
  <conditionalFormatting sqref="C42">
    <cfRule type="expression" dxfId="93" priority="19">
      <formula>$J42&gt;0</formula>
    </cfRule>
  </conditionalFormatting>
  <conditionalFormatting sqref="C57">
    <cfRule type="expression" dxfId="92" priority="18">
      <formula>$J57&gt;0</formula>
    </cfRule>
  </conditionalFormatting>
  <conditionalFormatting sqref="C60">
    <cfRule type="expression" dxfId="91" priority="17">
      <formula>$J60&gt;0</formula>
    </cfRule>
  </conditionalFormatting>
  <conditionalFormatting sqref="C63">
    <cfRule type="expression" dxfId="90" priority="16">
      <formula>$J63&gt;0</formula>
    </cfRule>
  </conditionalFormatting>
  <conditionalFormatting sqref="C54">
    <cfRule type="expression" dxfId="89" priority="15">
      <formula>$J54&gt;0</formula>
    </cfRule>
  </conditionalFormatting>
  <conditionalFormatting sqref="C66">
    <cfRule type="expression" dxfId="88" priority="14">
      <formula>$J66&gt;0</formula>
    </cfRule>
  </conditionalFormatting>
  <conditionalFormatting sqref="C75">
    <cfRule type="expression" dxfId="87" priority="11">
      <formula>$J75&gt;0</formula>
    </cfRule>
  </conditionalFormatting>
  <conditionalFormatting sqref="C69">
    <cfRule type="expression" dxfId="86" priority="13">
      <formula>$J69&gt;0</formula>
    </cfRule>
  </conditionalFormatting>
  <conditionalFormatting sqref="C72">
    <cfRule type="expression" dxfId="85" priority="12">
      <formula>$J72&gt;0</formula>
    </cfRule>
  </conditionalFormatting>
  <conditionalFormatting sqref="C90">
    <cfRule type="expression" dxfId="84" priority="9">
      <formula>$J90&gt;0</formula>
    </cfRule>
  </conditionalFormatting>
  <conditionalFormatting sqref="C87">
    <cfRule type="expression" dxfId="83" priority="10">
      <formula>$J87&gt;0</formula>
    </cfRule>
  </conditionalFormatting>
  <conditionalFormatting sqref="C97">
    <cfRule type="expression" dxfId="82" priority="7">
      <formula>$J97&gt;0</formula>
    </cfRule>
  </conditionalFormatting>
  <conditionalFormatting sqref="C100">
    <cfRule type="expression" dxfId="81" priority="6">
      <formula>$J100&gt;0</formula>
    </cfRule>
  </conditionalFormatting>
  <conditionalFormatting sqref="E84">
    <cfRule type="expression" dxfId="80" priority="5">
      <formula>$J84&gt;0</formula>
    </cfRule>
  </conditionalFormatting>
  <conditionalFormatting sqref="C84">
    <cfRule type="expression" dxfId="79" priority="4">
      <formula>$J84&gt;0</formula>
    </cfRule>
  </conditionalFormatting>
  <conditionalFormatting sqref="C34">
    <cfRule type="expression" dxfId="78" priority="3">
      <formula>$J34&gt;0</formula>
    </cfRule>
  </conditionalFormatting>
  <conditionalFormatting sqref="C29">
    <cfRule type="expression" dxfId="77" priority="2">
      <formula>$J29&gt;0</formula>
    </cfRule>
  </conditionalFormatting>
  <conditionalFormatting sqref="E29:F29">
    <cfRule type="expression" dxfId="76" priority="1">
      <formula>$J29&gt;0</formula>
    </cfRule>
  </conditionalFormatting>
  <dataValidations count="1">
    <dataValidation type="list" allowBlank="1" showErrorMessage="1" sqref="C41" xr:uid="{00000000-0002-0000-0100-000000000000}">
      <formula1>$A$21:$A$27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 xr:uid="{00000000-0002-0000-0100-000001000000}">
          <x14:formula1>
            <xm:f>ConfigurationTS3L2!$A$6:$A$7</xm:f>
          </x14:formula1>
          <xm:sqref>C11</xm:sqref>
        </x14:dataValidation>
        <x14:dataValidation type="list" allowBlank="1" showErrorMessage="1" xr:uid="{00000000-0002-0000-0100-000002000000}">
          <x14:formula1>
            <xm:f>IF($I$20&gt;0,ConfigurationTS3L2!$A$116:$A$117,ConfigurationTS3L2!$A$60:$A$61)</xm:f>
          </x14:formula1>
          <xm:sqref>C75</xm:sqref>
        </x14:dataValidation>
        <x14:dataValidation type="list" allowBlank="1" showErrorMessage="1" xr:uid="{00000000-0002-0000-0100-000003000000}">
          <x14:formula1>
            <xm:f>IF($I$20&gt;0,ConfigurationTS3L2!$A$106:$A$113,ConfigurationTS3L2!$A$60:$A$61)</xm:f>
          </x14:formula1>
          <xm:sqref>C72</xm:sqref>
        </x14:dataValidation>
        <x14:dataValidation type="list" allowBlank="1" showErrorMessage="1" xr:uid="{00000000-0002-0000-0100-000004000000}">
          <x14:formula1>
            <xm:f>IF($I$20&gt;0,ConfigurationTS3L2!$A$96:$A$103,ConfigurationTS3L2!$A$60:$A$61)</xm:f>
          </x14:formula1>
          <xm:sqref>C69</xm:sqref>
        </x14:dataValidation>
        <x14:dataValidation type="list" allowBlank="1" showErrorMessage="1" xr:uid="{00000000-0002-0000-0100-000005000000}">
          <x14:formula1>
            <xm:f>IF($I$20&gt;0,ConfigurationTS3L2!$A$92:$A$93,ConfigurationTS3L2!$A$60:$A$61)</xm:f>
          </x14:formula1>
          <xm:sqref>C66</xm:sqref>
        </x14:dataValidation>
        <x14:dataValidation type="list" allowBlank="1" showErrorMessage="1" xr:uid="{00000000-0002-0000-0100-000006000000}">
          <x14:formula1>
            <xm:f>IF($I$20&gt;0,ConfigurationTS3L2!$A$82:$A$89,ConfigurationTS3L2!$A$60:$A$61)</xm:f>
          </x14:formula1>
          <xm:sqref>C63</xm:sqref>
        </x14:dataValidation>
        <x14:dataValidation type="list" allowBlank="1" showErrorMessage="1" xr:uid="{00000000-0002-0000-0100-000007000000}">
          <x14:formula1>
            <xm:f>ConfigurationTS3L2!$A$74:$A$75</xm:f>
          </x14:formula1>
          <xm:sqref>C57</xm:sqref>
        </x14:dataValidation>
        <x14:dataValidation type="list" allowBlank="1" showErrorMessage="1" xr:uid="{00000000-0002-0000-0100-000008000000}">
          <x14:formula1>
            <xm:f>ConfigurationTS3L2!$A$10:$A$11</xm:f>
          </x14:formula1>
          <xm:sqref>C20</xm:sqref>
        </x14:dataValidation>
        <x14:dataValidation type="list" allowBlank="1" showErrorMessage="1" xr:uid="{00000000-0002-0000-0100-000009000000}">
          <x14:formula1>
            <xm:f>ConfigurationTS3L2!$A$64:$A$71</xm:f>
          </x14:formula1>
          <xm:sqref>C54</xm:sqref>
        </x14:dataValidation>
        <x14:dataValidation type="list" allowBlank="1" showErrorMessage="1" prompt="Kit Graphical User Interface (GUI), costituito da un monitor da tavolo TFT 17”, con risoluzione di 1024x768, intervallo di frequenze orizzontali di almeno 30KHz-60KHz, da una tastiera e da un dispositivo di puntamento (mouse)." xr:uid="{00000000-0002-0000-0100-00000A000000}">
          <x14:formula1>
            <xm:f>ConfigurationTS3L2!$A$147:$A$148</xm:f>
          </x14:formula1>
          <xm:sqref>C100</xm:sqref>
        </x14:dataValidation>
        <x14:dataValidation type="list" allowBlank="1" showErrorMessage="1" xr:uid="{00000000-0002-0000-0100-00000B000000}">
          <x14:formula1>
            <xm:f>ConfigurationTS3L2!$A$143:$A$144</xm:f>
          </x14:formula1>
          <xm:sqref>C97</xm:sqref>
        </x14:dataValidation>
        <x14:dataValidation type="list" allowBlank="1" showErrorMessage="1" xr:uid="{00000000-0002-0000-0100-00000C000000}">
          <x14:formula1>
            <xm:f>ConfigurationTS3L2!$A$138:$A$139</xm:f>
          </x14:formula1>
          <xm:sqref>C93</xm:sqref>
        </x14:dataValidation>
        <x14:dataValidation type="list" allowBlank="1" showErrorMessage="1" xr:uid="{00000000-0002-0000-0100-00000D000000}">
          <x14:formula1>
            <xm:f>ConfigurationTS3L2!$A$134:$A$135</xm:f>
          </x14:formula1>
          <xm:sqref>C90</xm:sqref>
        </x14:dataValidation>
        <x14:dataValidation type="list" allowBlank="1" showErrorMessage="1" xr:uid="{00000000-0002-0000-0100-00000E000000}">
          <x14:formula1>
            <xm:f>ConfigurationTS3L2!$A$78:$A$79</xm:f>
          </x14:formula1>
          <xm:sqref>C60</xm:sqref>
        </x14:dataValidation>
        <x14:dataValidation type="list" allowBlank="1" showErrorMessage="1" xr:uid="{00000000-0002-0000-0100-00000F000000}">
          <x14:formula1>
            <xm:f>ConfigurationTS3L2!$A$37:$A$39</xm:f>
          </x14:formula1>
          <xm:sqref>C26</xm:sqref>
        </x14:dataValidation>
        <x14:dataValidation type="list" allowBlank="1" showErrorMessage="1" xr:uid="{00000000-0002-0000-0100-000010000000}">
          <x14:formula1>
            <xm:f>IF($J$11&gt;0,ConfigurationTS3L2!$A$150:$A$151,ConfigurationTS3L2!$A$124:$A$126)</xm:f>
          </x14:formula1>
          <xm:sqref>C87</xm:sqref>
        </x14:dataValidation>
        <x14:dataValidation type="list" allowBlank="1" showErrorMessage="1" xr:uid="{00000000-0002-0000-0100-000011000000}">
          <x14:formula1>
            <xm:f>IF($F$20=1,ConfigurationTS3L2!$A$23:$A$34,ConfigurationTS3L2!$A$14:$A$20)</xm:f>
          </x14:formula1>
          <xm:sqref>C23</xm:sqref>
        </x14:dataValidation>
        <x14:dataValidation type="list" allowBlank="1" showErrorMessage="1" xr:uid="{00000000-0002-0000-0100-000012000000}">
          <x14:formula1>
            <xm:f>ConfigurationTS3L2!$A$50:$A$51</xm:f>
          </x14:formula1>
          <xm:sqref>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theme="9" tint="0.59999389629810485"/>
  </sheetPr>
  <dimension ref="A1:Q115"/>
  <sheetViews>
    <sheetView zoomScaleNormal="100" workbookViewId="0">
      <pane ySplit="5" topLeftCell="A6" activePane="bottomLeft" state="frozen"/>
      <selection pane="bottomLeft" activeCell="F5" sqref="F5"/>
    </sheetView>
  </sheetViews>
  <sheetFormatPr defaultColWidth="0" defaultRowHeight="0" customHeight="1" zeroHeight="1" x14ac:dyDescent="0.25"/>
  <cols>
    <col min="1" max="2" width="4.5703125" style="79" customWidth="1"/>
    <col min="3" max="3" width="72.7109375" style="196" customWidth="1"/>
    <col min="4" max="4" width="10.7109375" style="79" customWidth="1"/>
    <col min="5" max="5" width="17.42578125" style="201" customWidth="1"/>
    <col min="6" max="6" width="17.140625" style="201" customWidth="1"/>
    <col min="7" max="7" width="3.5703125" style="125" customWidth="1"/>
    <col min="8" max="8" width="36" style="125" customWidth="1"/>
    <col min="9" max="9" width="14" style="132" hidden="1"/>
    <col min="10" max="11" width="9.140625" style="125" hidden="1"/>
    <col min="12" max="16384" width="9.140625" style="79" hidden="1"/>
  </cols>
  <sheetData>
    <row r="1" spans="1:11" ht="15" x14ac:dyDescent="0.25">
      <c r="A1" s="56"/>
      <c r="B1" s="56"/>
      <c r="C1" s="187"/>
      <c r="D1" s="56"/>
      <c r="E1" s="188" t="s">
        <v>152</v>
      </c>
      <c r="F1" s="189">
        <f>SUM(I8:I100)*F5</f>
        <v>0</v>
      </c>
      <c r="G1" s="119"/>
      <c r="H1" s="120"/>
      <c r="I1" s="121"/>
      <c r="J1" s="120"/>
      <c r="K1" s="120"/>
    </row>
    <row r="2" spans="1:11" ht="15" x14ac:dyDescent="0.25">
      <c r="A2" s="56"/>
      <c r="B2" s="56"/>
      <c r="C2" s="187"/>
      <c r="D2" s="56"/>
      <c r="E2" s="190">
        <v>0.2</v>
      </c>
      <c r="F2" s="191">
        <f>SUM(J8:J100)*F5</f>
        <v>0</v>
      </c>
      <c r="G2" s="119"/>
      <c r="H2" s="120"/>
      <c r="I2" s="121"/>
      <c r="J2" s="120"/>
      <c r="K2" s="120"/>
    </row>
    <row r="3" spans="1:11" ht="15" x14ac:dyDescent="0.25">
      <c r="A3" s="56"/>
      <c r="B3" s="56"/>
      <c r="C3" s="187"/>
      <c r="D3" s="56"/>
      <c r="E3" s="192" t="s">
        <v>153</v>
      </c>
      <c r="F3" s="193">
        <f>SUM(F1:F2)</f>
        <v>0</v>
      </c>
      <c r="G3" s="119"/>
      <c r="H3" s="120"/>
      <c r="I3" s="121"/>
      <c r="J3" s="120"/>
      <c r="K3" s="120"/>
    </row>
    <row r="4" spans="1:11" ht="15.75" thickBot="1" x14ac:dyDescent="0.3">
      <c r="A4" s="56"/>
      <c r="B4" s="56"/>
      <c r="C4" s="187"/>
      <c r="D4" s="56"/>
      <c r="E4" s="194"/>
      <c r="F4" s="194"/>
      <c r="G4" s="119"/>
      <c r="H4" s="120"/>
      <c r="I4" s="121"/>
      <c r="J4" s="120"/>
      <c r="K4" s="120"/>
    </row>
    <row r="5" spans="1:11" ht="31.5" thickTop="1" thickBot="1" x14ac:dyDescent="0.3">
      <c r="A5" s="56"/>
      <c r="B5" s="56"/>
      <c r="C5" s="195" t="s">
        <v>607</v>
      </c>
      <c r="D5" s="216" t="str">
        <f>HYPERLINK("https://convenzioni.converge.it/docs/L2GuidaAllaConvenzioneTecnologieServer3.pdf","&amp;")</f>
        <v>&amp;</v>
      </c>
      <c r="E5" s="122" t="s">
        <v>154</v>
      </c>
      <c r="F5" s="174"/>
      <c r="G5" s="119"/>
      <c r="H5" s="123" t="str">
        <f>Riepilogo!G8</f>
        <v>Version 3.3</v>
      </c>
      <c r="I5" s="121"/>
      <c r="J5" s="120"/>
      <c r="K5" s="120"/>
    </row>
    <row r="6" spans="1:11" ht="15.75" customHeight="1" thickTop="1" x14ac:dyDescent="0.25">
      <c r="A6" s="56"/>
      <c r="B6" s="56"/>
      <c r="D6" s="56"/>
      <c r="E6" s="194"/>
      <c r="F6" s="124"/>
      <c r="G6" s="119"/>
      <c r="H6" s="120"/>
      <c r="I6" s="121"/>
      <c r="J6" s="120"/>
      <c r="K6" s="120"/>
    </row>
    <row r="7" spans="1:11" ht="15.75" customHeight="1" x14ac:dyDescent="0.25">
      <c r="A7" s="125"/>
      <c r="B7" s="56"/>
      <c r="C7" s="188" t="s">
        <v>0</v>
      </c>
      <c r="D7" s="230" t="str">
        <f>HYPERLINK("https://convenzioni.converge.it/docs/ts3_datasheet/dell-emc-poweredge-t640-spec-sheet.pdf","i")</f>
        <v>i</v>
      </c>
      <c r="E7" s="194"/>
      <c r="F7" s="194"/>
      <c r="G7" s="119"/>
      <c r="H7" s="119"/>
      <c r="I7" s="120"/>
      <c r="J7" s="120"/>
      <c r="K7" s="120"/>
    </row>
    <row r="8" spans="1:11" ht="16.5" customHeight="1" x14ac:dyDescent="0.25">
      <c r="A8" s="56"/>
      <c r="B8" s="56"/>
      <c r="C8" s="197" t="s">
        <v>279</v>
      </c>
      <c r="D8" s="230"/>
      <c r="E8" s="198" t="str">
        <f>IF($F$5&gt;0,"TS3L2-SRV","")</f>
        <v/>
      </c>
      <c r="F8" s="127" t="str">
        <f>IF($F$5&gt;0,1,"")</f>
        <v/>
      </c>
      <c r="G8" s="119"/>
      <c r="H8" s="119"/>
      <c r="I8" s="128">
        <f>VLOOKUP($C8,TS3L2_ALL,10,FALSE)</f>
        <v>2088</v>
      </c>
      <c r="J8" s="120"/>
      <c r="K8" s="128" t="str">
        <f>VLOOKUP($C8,TS3L2_ALL,12,FALSE)</f>
        <v>L2N01</v>
      </c>
    </row>
    <row r="9" spans="1:11" ht="15.75" customHeight="1" x14ac:dyDescent="0.25">
      <c r="A9" s="56"/>
      <c r="B9" s="56"/>
      <c r="C9" s="194"/>
      <c r="D9" s="56"/>
      <c r="E9" s="194"/>
      <c r="F9" s="124"/>
      <c r="G9" s="119"/>
      <c r="H9" s="119"/>
      <c r="I9" s="121"/>
      <c r="J9" s="120"/>
      <c r="K9" s="120"/>
    </row>
    <row r="10" spans="1:11" ht="15.75" customHeight="1" thickBot="1" x14ac:dyDescent="0.3">
      <c r="A10" s="56"/>
      <c r="B10" s="56"/>
      <c r="C10" s="188" t="s">
        <v>2</v>
      </c>
      <c r="D10" s="230" t="str">
        <f>HYPERLINK("https://dellservervr.dell.com/poweredge-t640/","i")</f>
        <v>i</v>
      </c>
      <c r="E10" s="194"/>
      <c r="F10" s="124"/>
      <c r="G10" s="119"/>
      <c r="H10" s="119"/>
      <c r="I10" s="121"/>
      <c r="J10" s="120"/>
      <c r="K10" s="120"/>
    </row>
    <row r="11" spans="1:11" ht="16.5" customHeight="1" thickTop="1" thickBot="1" x14ac:dyDescent="0.25">
      <c r="A11" s="56"/>
      <c r="B11" s="56"/>
      <c r="C11" s="200" t="s">
        <v>370</v>
      </c>
      <c r="D11" s="230"/>
      <c r="E11" s="197" t="str">
        <f>VLOOKUP($C$11,TS3L2_Chassis,13,FALSE)</f>
        <v/>
      </c>
      <c r="F11" s="151" t="str">
        <f>VLOOKUP($C$11,TS3L2_Chassis,7,FALSE)</f>
        <v/>
      </c>
      <c r="G11" s="119"/>
      <c r="H11" s="119"/>
      <c r="I11" s="128">
        <f>VLOOKUP($C$11,TS3L2_Chassis,10,FALSE)</f>
        <v>0</v>
      </c>
      <c r="J11" s="128">
        <f>VLOOKUP($C11,TS3L2_Chassis,11,FALSE)</f>
        <v>0</v>
      </c>
      <c r="K11" s="128" t="str">
        <f>VLOOKUP($C11,TS3L2_Chassis,12,FALSE)</f>
        <v/>
      </c>
    </row>
    <row r="12" spans="1:11" ht="15.75" customHeight="1" thickTop="1" x14ac:dyDescent="0.25">
      <c r="A12" s="56"/>
      <c r="B12" s="56"/>
      <c r="C12" s="194"/>
      <c r="D12" s="56"/>
      <c r="E12" s="194"/>
      <c r="F12" s="124"/>
      <c r="G12" s="119"/>
      <c r="H12" s="119"/>
      <c r="I12" s="121"/>
      <c r="J12" s="120"/>
      <c r="K12" s="120"/>
    </row>
    <row r="13" spans="1:11" ht="15.75" customHeight="1" x14ac:dyDescent="0.25">
      <c r="A13" s="56"/>
      <c r="B13" s="56"/>
      <c r="C13" s="188" t="s">
        <v>3</v>
      </c>
      <c r="D13" s="56"/>
      <c r="F13" s="124"/>
      <c r="G13" s="119"/>
      <c r="H13" s="119"/>
      <c r="I13" s="121"/>
      <c r="J13" s="120"/>
      <c r="K13" s="120"/>
    </row>
    <row r="14" spans="1:11" ht="16.5" customHeight="1" x14ac:dyDescent="0.25">
      <c r="A14" s="56"/>
      <c r="B14" s="56"/>
      <c r="C14" s="197" t="s">
        <v>4</v>
      </c>
      <c r="D14" s="56"/>
      <c r="E14" s="194"/>
      <c r="F14" s="124"/>
      <c r="G14" s="119"/>
      <c r="H14" s="119"/>
      <c r="I14" s="121"/>
      <c r="J14" s="120"/>
      <c r="K14" s="120"/>
    </row>
    <row r="15" spans="1:11" ht="15.75" customHeight="1" x14ac:dyDescent="0.25">
      <c r="A15" s="56"/>
      <c r="B15" s="56"/>
      <c r="C15" s="194"/>
      <c r="D15" s="56"/>
      <c r="E15" s="194"/>
      <c r="F15" s="124"/>
      <c r="G15" s="119"/>
      <c r="H15" s="119"/>
      <c r="I15" s="121"/>
      <c r="J15" s="120"/>
      <c r="K15" s="120"/>
    </row>
    <row r="16" spans="1:11" ht="15.75" customHeight="1" x14ac:dyDescent="0.25">
      <c r="A16" s="56"/>
      <c r="B16" s="56"/>
      <c r="C16" s="188" t="s">
        <v>5</v>
      </c>
      <c r="D16" s="230" t="str">
        <f>HYPERLINK("https://ark.intel.com/content/www/it/it/ark/products/193385/intel-xeon-silver-4214-processor-16-5m-cache-2-20-ghz.html","i")</f>
        <v>i</v>
      </c>
      <c r="E16" s="194"/>
      <c r="F16" s="124"/>
      <c r="G16" s="119"/>
      <c r="H16" s="119"/>
      <c r="I16" s="121"/>
      <c r="J16" s="120"/>
      <c r="K16" s="120"/>
    </row>
    <row r="17" spans="1:11" ht="16.5" customHeight="1" x14ac:dyDescent="0.25">
      <c r="A17" s="56"/>
      <c r="B17" s="56"/>
      <c r="C17" s="197" t="s">
        <v>371</v>
      </c>
      <c r="D17" s="230"/>
      <c r="E17" s="194"/>
      <c r="F17" s="124"/>
      <c r="G17" s="119"/>
      <c r="H17" s="119"/>
      <c r="I17" s="121"/>
      <c r="J17" s="120"/>
      <c r="K17" s="120"/>
    </row>
    <row r="18" spans="1:11" ht="15.75" customHeight="1" x14ac:dyDescent="0.25">
      <c r="A18" s="56"/>
      <c r="B18" s="56"/>
      <c r="C18" s="202"/>
      <c r="D18" s="56"/>
      <c r="E18" s="194"/>
      <c r="F18" s="124"/>
      <c r="G18" s="119"/>
      <c r="H18" s="119"/>
      <c r="I18" s="121"/>
      <c r="J18" s="120"/>
      <c r="K18" s="120"/>
    </row>
    <row r="19" spans="1:11" ht="15.75" customHeight="1" thickBot="1" x14ac:dyDescent="0.3">
      <c r="A19" s="56"/>
      <c r="B19" s="56"/>
      <c r="C19" s="188" t="s">
        <v>374</v>
      </c>
      <c r="D19" s="56"/>
      <c r="E19" s="194"/>
      <c r="F19" s="124"/>
      <c r="G19" s="119"/>
      <c r="H19" s="119"/>
      <c r="I19" s="121"/>
      <c r="J19" s="120"/>
      <c r="K19" s="120"/>
    </row>
    <row r="20" spans="1:11" ht="16.5" customHeight="1" thickTop="1" thickBot="1" x14ac:dyDescent="0.3">
      <c r="A20" s="56"/>
      <c r="B20" s="56"/>
      <c r="C20" s="200" t="s">
        <v>373</v>
      </c>
      <c r="D20" s="56"/>
      <c r="E20" s="197" t="str">
        <f>VLOOKUP($C$20,TS3L2_CPU,13,FALSE)</f>
        <v/>
      </c>
      <c r="F20" s="151">
        <f>VLOOKUP($C$20,TS3L2_CPU,7,FALSE)</f>
        <v>0</v>
      </c>
      <c r="G20" s="119"/>
      <c r="H20" s="119"/>
      <c r="I20" s="128">
        <f>VLOOKUP($C$20,TS3L2_CPU,10,FALSE)</f>
        <v>0</v>
      </c>
      <c r="J20" s="120"/>
      <c r="K20" s="128" t="str">
        <f>VLOOKUP($C20,TS3L2_ALL,12,FALSE)</f>
        <v/>
      </c>
    </row>
    <row r="21" spans="1:11" ht="15.75" customHeight="1" thickTop="1" x14ac:dyDescent="0.25">
      <c r="A21" s="56"/>
      <c r="B21" s="56"/>
      <c r="C21" s="194"/>
      <c r="D21" s="56"/>
      <c r="E21" s="194"/>
      <c r="F21" s="124"/>
      <c r="G21" s="119"/>
      <c r="H21" s="119"/>
      <c r="I21" s="121"/>
      <c r="J21" s="120"/>
      <c r="K21" s="120"/>
    </row>
    <row r="22" spans="1:11" ht="15.75" customHeight="1" thickBot="1" x14ac:dyDescent="0.3">
      <c r="A22" s="56"/>
      <c r="B22" s="56"/>
      <c r="C22" s="199" t="s">
        <v>6</v>
      </c>
      <c r="D22" s="56"/>
      <c r="E22" s="194"/>
      <c r="F22" s="194"/>
      <c r="G22" s="119"/>
      <c r="H22" s="119"/>
      <c r="I22" s="120"/>
      <c r="J22" s="120"/>
      <c r="K22" s="120"/>
    </row>
    <row r="23" spans="1:11" ht="16.5" customHeight="1" thickTop="1" thickBot="1" x14ac:dyDescent="0.3">
      <c r="A23" s="56"/>
      <c r="B23" s="56"/>
      <c r="C23" s="200" t="s">
        <v>24</v>
      </c>
      <c r="D23" s="56"/>
      <c r="E23" s="197" t="str">
        <f>VLOOKUP($C$23,TS3L2_RAM,13,FALSE)</f>
        <v/>
      </c>
      <c r="F23" s="151">
        <f>VLOOKUP($C$23,TS3L2_RAM,7,FALSE)</f>
        <v>0</v>
      </c>
      <c r="G23" s="119"/>
      <c r="H23" s="119"/>
      <c r="I23" s="128">
        <f>VLOOKUP($C$23,TS3L2_RAM,10,FALSE)</f>
        <v>0</v>
      </c>
      <c r="J23" s="120"/>
      <c r="K23" s="128" t="str">
        <f>VLOOKUP($C23,TS3L2_ALL,12,FALSE)</f>
        <v/>
      </c>
    </row>
    <row r="24" spans="1:11" ht="15.75" customHeight="1" thickTop="1" x14ac:dyDescent="0.25">
      <c r="A24" s="56"/>
      <c r="B24" s="56"/>
      <c r="D24" s="56"/>
      <c r="E24" s="194"/>
      <c r="F24" s="124"/>
      <c r="G24" s="119"/>
      <c r="H24" s="119"/>
      <c r="I24" s="121"/>
      <c r="J24" s="120"/>
      <c r="K24" s="120"/>
    </row>
    <row r="25" spans="1:11" ht="15.75" customHeight="1" thickBot="1" x14ac:dyDescent="0.3">
      <c r="A25" s="56"/>
      <c r="B25" s="56"/>
      <c r="C25" s="203" t="s">
        <v>7</v>
      </c>
      <c r="D25" s="56"/>
      <c r="E25" s="194"/>
      <c r="F25" s="194"/>
      <c r="G25" s="119"/>
      <c r="H25" s="119"/>
      <c r="I25" s="120"/>
      <c r="J25" s="120"/>
      <c r="K25" s="120"/>
    </row>
    <row r="26" spans="1:11" ht="16.5" customHeight="1" thickTop="1" thickBot="1" x14ac:dyDescent="0.3">
      <c r="A26" s="56"/>
      <c r="B26" s="56"/>
      <c r="C26" s="200" t="s">
        <v>30</v>
      </c>
      <c r="D26" s="56"/>
      <c r="E26" s="197" t="str">
        <f>VLOOKUP($C$26,TS3L2_OS,13,FALSE)</f>
        <v/>
      </c>
      <c r="F26" s="151" t="str">
        <f>VLOOKUP($C$26,TS3L2_OS,7,FALSE)</f>
        <v/>
      </c>
      <c r="G26" s="119"/>
      <c r="H26" s="119"/>
      <c r="I26" s="128">
        <f>VLOOKUP($C$26,TS3L2_OS,10,FALSE)</f>
        <v>0</v>
      </c>
      <c r="J26" s="120"/>
      <c r="K26" s="128" t="str">
        <f>VLOOKUP($C26,TS3L2_ALL,12,FALSE)</f>
        <v/>
      </c>
    </row>
    <row r="27" spans="1:11" ht="15.75" customHeight="1" thickTop="1" x14ac:dyDescent="0.25">
      <c r="A27" s="56"/>
      <c r="B27" s="56"/>
      <c r="C27" s="201"/>
      <c r="D27" s="56"/>
      <c r="E27" s="197" t="str">
        <f>IF(F20=1,VLOOKUP($C$26,TS3L2_OS,20,FALSE),"")</f>
        <v/>
      </c>
      <c r="F27" s="151">
        <f>IF(F20=1,VLOOKUP($C$26,TS3L2_OS,14,FALSE),0)</f>
        <v>0</v>
      </c>
      <c r="G27" s="119"/>
      <c r="H27" s="119"/>
      <c r="I27" s="128">
        <f>IF(F20=1,VLOOKUP($C$26,TS3L2_OS,17,FALSE),0)</f>
        <v>0</v>
      </c>
      <c r="J27" s="120"/>
      <c r="K27" s="128" t="str">
        <f>IF(F20=1,VLOOKUP($C26,TS3L2_OS,19,FALSE),"")</f>
        <v/>
      </c>
    </row>
    <row r="28" spans="1:11" ht="15.75" customHeight="1" thickBot="1" x14ac:dyDescent="0.3">
      <c r="A28" s="56"/>
      <c r="B28" s="56"/>
      <c r="C28" s="204" t="s">
        <v>398</v>
      </c>
      <c r="D28" s="230" t="str">
        <f>IF(J29&gt;0,HYPERLINK("https://convenzioni.converge.it/docs/ts3_datasheet/dellemc-poweredge-raid-controller-h740p.pdf","i"),HYPERLINK("https://convenzioni.converge.it/docs/ts3_datasheet/DELL_H730.pdf","i"))</f>
        <v>i</v>
      </c>
      <c r="F28" s="124"/>
      <c r="G28" s="119"/>
      <c r="H28" s="119"/>
      <c r="I28" s="121"/>
      <c r="J28" s="120"/>
      <c r="K28" s="120"/>
    </row>
    <row r="29" spans="1:11" ht="16.5" customHeight="1" thickTop="1" thickBot="1" x14ac:dyDescent="0.25">
      <c r="A29" s="56"/>
      <c r="B29" s="56"/>
      <c r="C29" s="200" t="s">
        <v>397</v>
      </c>
      <c r="D29" s="230"/>
      <c r="E29" s="197" t="str">
        <f>VLOOKUP($C$29,TS3L2_ALL,13,FALSE)</f>
        <v/>
      </c>
      <c r="F29" s="151" t="str">
        <f>VLOOKUP($C$29,TS3L2_ALL,7,FALSE)</f>
        <v/>
      </c>
      <c r="G29" s="119"/>
      <c r="H29" s="176" t="s">
        <v>166</v>
      </c>
      <c r="I29" s="128">
        <f>VLOOKUP($C$29,TS3L2_ALL,10,FALSE)</f>
        <v>0</v>
      </c>
      <c r="J29" s="128">
        <f>VLOOKUP($C$29,TS3L2_ALL,11,FALSE)</f>
        <v>0</v>
      </c>
      <c r="K29" s="128" t="str">
        <f>VLOOKUP($C29,TS3L2_ALL,12,FALSE)</f>
        <v/>
      </c>
    </row>
    <row r="30" spans="1:11" ht="15.75" customHeight="1" thickTop="1" x14ac:dyDescent="0.25">
      <c r="A30" s="56"/>
      <c r="B30" s="56"/>
      <c r="C30" s="194"/>
      <c r="D30" s="56"/>
      <c r="E30" s="194"/>
      <c r="F30" s="124"/>
      <c r="G30" s="119"/>
      <c r="H30" s="231" t="s">
        <v>259</v>
      </c>
      <c r="I30" s="121"/>
      <c r="J30" s="120"/>
      <c r="K30" s="120"/>
    </row>
    <row r="31" spans="1:11" ht="15" customHeight="1" x14ac:dyDescent="0.25">
      <c r="A31" s="56"/>
      <c r="B31" s="56"/>
      <c r="C31" s="234" t="s">
        <v>396</v>
      </c>
      <c r="D31" s="56"/>
      <c r="E31" s="151" t="s">
        <v>394</v>
      </c>
      <c r="F31" s="151" t="s">
        <v>395</v>
      </c>
      <c r="G31" s="119"/>
      <c r="H31" s="232"/>
      <c r="I31" s="121"/>
      <c r="J31" s="120"/>
      <c r="K31" s="120"/>
    </row>
    <row r="32" spans="1:11" ht="15" customHeight="1" x14ac:dyDescent="0.25">
      <c r="A32" s="56"/>
      <c r="B32" s="56"/>
      <c r="C32" s="234"/>
      <c r="D32" s="56"/>
      <c r="E32" s="152">
        <f>F34+F36+F38+F40+F42</f>
        <v>2</v>
      </c>
      <c r="F32" s="152">
        <f>16-E32</f>
        <v>14</v>
      </c>
      <c r="G32" s="119"/>
      <c r="H32" s="232"/>
      <c r="I32" s="121"/>
      <c r="J32" s="120"/>
      <c r="K32" s="120"/>
    </row>
    <row r="33" spans="1:11" ht="15.75" customHeight="1" thickBot="1" x14ac:dyDescent="0.3">
      <c r="A33" s="56"/>
      <c r="B33" s="56"/>
      <c r="C33" s="194"/>
      <c r="D33" s="56"/>
      <c r="E33" s="194"/>
      <c r="F33" s="124"/>
      <c r="G33" s="119"/>
      <c r="H33" s="232"/>
      <c r="I33" s="121"/>
      <c r="J33" s="120"/>
      <c r="K33" s="120"/>
    </row>
    <row r="34" spans="1:11" ht="16.5" customHeight="1" thickTop="1" thickBot="1" x14ac:dyDescent="0.25">
      <c r="A34" s="56"/>
      <c r="B34" s="56"/>
      <c r="C34" s="197" t="s">
        <v>620</v>
      </c>
      <c r="D34" s="56"/>
      <c r="E34" s="206" t="str">
        <f>VLOOKUP($C34,TS3L2_HDD,13,FALSE)</f>
        <v>TS3L2-HDD2TB</v>
      </c>
      <c r="F34" s="207"/>
      <c r="G34" s="119"/>
      <c r="H34" s="232"/>
      <c r="I34" s="128">
        <f>VLOOKUP($C34,TS3L2_HDD,10,FALSE)*F34</f>
        <v>0</v>
      </c>
      <c r="J34" s="128">
        <f>VLOOKUP($C34,TS3L2_HDD,11,FALSE)</f>
        <v>0</v>
      </c>
      <c r="K34" s="128" t="str">
        <f>VLOOKUP($C34,TS3L2_ALL,12,FALSE)</f>
        <v>L2N05</v>
      </c>
    </row>
    <row r="35" spans="1:11" ht="15.75" customHeight="1" thickTop="1" thickBot="1" x14ac:dyDescent="0.3">
      <c r="A35" s="56"/>
      <c r="B35" s="56"/>
      <c r="C35" s="194"/>
      <c r="D35" s="56"/>
      <c r="E35" s="194"/>
      <c r="F35" s="124"/>
      <c r="G35" s="119"/>
      <c r="H35" s="232"/>
      <c r="I35" s="121"/>
      <c r="J35" s="120"/>
      <c r="K35" s="120"/>
    </row>
    <row r="36" spans="1:11" ht="16.5" customHeight="1" thickTop="1" thickBot="1" x14ac:dyDescent="0.25">
      <c r="A36" s="56"/>
      <c r="B36" s="56"/>
      <c r="C36" s="197" t="str">
        <f>ConfigurationTS3L2!A44</f>
        <v>1.2TB 10K RPM SAS 12Gbps 2.5in Hot-plug</v>
      </c>
      <c r="D36" s="56"/>
      <c r="E36" s="206" t="str">
        <f>VLOOKUP($C36,TS3L2_HDD,13,FALSE)</f>
        <v>TS3L2-HDD1TB</v>
      </c>
      <c r="F36" s="207"/>
      <c r="G36" s="119"/>
      <c r="H36" s="232"/>
      <c r="I36" s="128">
        <f>VLOOKUP($C36,TS3L2_HDD,10,FALSE)*F36</f>
        <v>0</v>
      </c>
      <c r="J36" s="128">
        <f>VLOOKUP($C36,TS3L2_HDD,11,FALSE)</f>
        <v>0</v>
      </c>
      <c r="K36" s="128" t="str">
        <f>VLOOKUP($C36,TS3L2_ALL,12,FALSE)</f>
        <v>L2N06</v>
      </c>
    </row>
    <row r="37" spans="1:11" ht="15.75" customHeight="1" thickTop="1" thickBot="1" x14ac:dyDescent="0.3">
      <c r="A37" s="56"/>
      <c r="B37" s="56"/>
      <c r="C37" s="194"/>
      <c r="D37" s="56"/>
      <c r="E37" s="194"/>
      <c r="F37" s="124"/>
      <c r="G37" s="119"/>
      <c r="H37" s="232"/>
      <c r="I37" s="121"/>
      <c r="J37" s="120"/>
      <c r="K37" s="120"/>
    </row>
    <row r="38" spans="1:11" ht="16.5" customHeight="1" thickTop="1" thickBot="1" x14ac:dyDescent="0.25">
      <c r="A38" s="56"/>
      <c r="B38" s="56"/>
      <c r="C38" s="197" t="str">
        <f>ConfigurationTS3L2!A45</f>
        <v>300GB 15K RPM SAS 12Gbps 2.5in Hot-plug</v>
      </c>
      <c r="D38" s="56"/>
      <c r="E38" s="206" t="str">
        <f>VLOOKUP($C38,TS3L2_HDD,13,FALSE)</f>
        <v>TS3L2-HDD300GB</v>
      </c>
      <c r="F38" s="207"/>
      <c r="G38" s="119"/>
      <c r="H38" s="232"/>
      <c r="I38" s="128">
        <f>VLOOKUP($C38,TS3L2_HDD,10,FALSE)*F38</f>
        <v>0</v>
      </c>
      <c r="J38" s="128">
        <f>VLOOKUP($C38,TS3L2_HDD,11,FALSE)</f>
        <v>0</v>
      </c>
      <c r="K38" s="128" t="str">
        <f>VLOOKUP($C38,TS3L2_ALL,12,FALSE)</f>
        <v>L2N07</v>
      </c>
    </row>
    <row r="39" spans="1:11" ht="15.75" customHeight="1" thickTop="1" thickBot="1" x14ac:dyDescent="0.3">
      <c r="A39" s="56"/>
      <c r="B39" s="56"/>
      <c r="C39" s="194"/>
      <c r="D39" s="56"/>
      <c r="E39" s="194"/>
      <c r="F39" s="124"/>
      <c r="G39" s="119"/>
      <c r="H39" s="232"/>
      <c r="I39" s="121"/>
      <c r="J39" s="120"/>
      <c r="K39" s="120"/>
    </row>
    <row r="40" spans="1:11" ht="16.5" customHeight="1" thickTop="1" thickBot="1" x14ac:dyDescent="0.25">
      <c r="A40" s="56"/>
      <c r="B40" s="56"/>
      <c r="C40" s="197" t="str">
        <f>ConfigurationTS3L2!A46</f>
        <v>960GB SSD SAS Read Intensive 12Gbps 2.5in Hot-plug</v>
      </c>
      <c r="D40" s="56"/>
      <c r="E40" s="206" t="str">
        <f>VLOOKUP($C40,TS3L2_HDD,13,FALSE)</f>
        <v>TS3L2-RI800GB</v>
      </c>
      <c r="F40" s="207">
        <v>2</v>
      </c>
      <c r="G40" s="119"/>
      <c r="H40" s="233"/>
      <c r="I40" s="128">
        <f>IF(F40&gt;2,(VLOOKUP($C40,TS3L2_HDD,10,FALSE)*(F40-2)),0)</f>
        <v>0</v>
      </c>
      <c r="J40" s="128">
        <f>VLOOKUP($C40,TS3L2_HDD,11,FALSE)</f>
        <v>0</v>
      </c>
      <c r="K40" s="128" t="str">
        <f>VLOOKUP($C40,TS3L2_ALL,12,FALSE)</f>
        <v>L2N08</v>
      </c>
    </row>
    <row r="41" spans="1:11" ht="15.75" customHeight="1" thickTop="1" x14ac:dyDescent="0.25">
      <c r="A41" s="56"/>
      <c r="B41" s="56"/>
      <c r="C41" s="194"/>
      <c r="D41" s="56"/>
      <c r="E41" s="194"/>
      <c r="F41" s="124"/>
      <c r="G41" s="119"/>
      <c r="H41" s="119"/>
      <c r="I41" s="121"/>
      <c r="J41" s="120"/>
      <c r="K41" s="120"/>
    </row>
    <row r="42" spans="1:11" ht="16.5" hidden="1" customHeight="1" thickTop="1" thickBot="1" x14ac:dyDescent="0.25">
      <c r="A42" s="56"/>
      <c r="B42" s="56"/>
      <c r="C42" s="197" t="str">
        <f>ConfigurationTS3L2!A47</f>
        <v>480GB SSD SAS Read Intensive 12Gbps 2.5in Hot-plug</v>
      </c>
      <c r="D42" s="56"/>
      <c r="E42" s="206" t="str">
        <f>VLOOKUP($C42,TS3L2_HDD,13,FALSE)</f>
        <v>TS3L2-RI400GB</v>
      </c>
      <c r="F42" s="207"/>
      <c r="G42" s="119"/>
      <c r="H42" s="119"/>
      <c r="I42" s="128">
        <f>IF(F42&gt;2,VLOOKUP($C42,TS3L2_HDD,10,FALSE)*(F42-2),0)</f>
        <v>0</v>
      </c>
      <c r="J42" s="128">
        <f>VLOOKUP($C42,TS3L2_HDD,11,FALSE)</f>
        <v>0</v>
      </c>
      <c r="K42" s="128" t="str">
        <f>VLOOKUP($C42,TS3L2_ALL,12,FALSE)</f>
        <v>L2N09</v>
      </c>
    </row>
    <row r="43" spans="1:11" ht="15.75" hidden="1" customHeight="1" thickTop="1" x14ac:dyDescent="0.25">
      <c r="A43" s="56"/>
      <c r="B43" s="56"/>
      <c r="C43" s="194"/>
      <c r="D43" s="56"/>
      <c r="E43" s="194"/>
      <c r="F43" s="124"/>
      <c r="G43" s="119"/>
      <c r="H43" s="119"/>
      <c r="I43" s="121"/>
      <c r="J43" s="120"/>
      <c r="K43" s="120"/>
    </row>
    <row r="44" spans="1:11" ht="15.75" customHeight="1" x14ac:dyDescent="0.25">
      <c r="A44" s="56"/>
      <c r="B44" s="56"/>
      <c r="C44" s="122" t="s">
        <v>8</v>
      </c>
      <c r="D44" s="56"/>
      <c r="E44" s="194"/>
      <c r="F44" s="194"/>
      <c r="G44" s="119"/>
      <c r="H44" s="119"/>
      <c r="I44" s="120"/>
      <c r="J44" s="120"/>
      <c r="K44" s="120"/>
    </row>
    <row r="45" spans="1:11" ht="16.5" customHeight="1" x14ac:dyDescent="0.25">
      <c r="A45" s="125"/>
      <c r="B45" s="56"/>
      <c r="C45" s="208" t="s">
        <v>399</v>
      </c>
      <c r="D45" s="56"/>
      <c r="E45" s="194"/>
      <c r="F45" s="194"/>
      <c r="G45" s="119"/>
      <c r="H45" s="119"/>
      <c r="I45" s="120"/>
      <c r="J45" s="120"/>
      <c r="K45" s="120"/>
    </row>
    <row r="46" spans="1:11" ht="15.75" customHeight="1" x14ac:dyDescent="0.25">
      <c r="A46" s="56"/>
      <c r="B46" s="56"/>
      <c r="C46" s="194"/>
      <c r="D46" s="56"/>
      <c r="E46" s="194"/>
      <c r="F46" s="124"/>
      <c r="G46" s="119"/>
      <c r="H46" s="119"/>
      <c r="I46" s="121"/>
      <c r="J46" s="120"/>
      <c r="K46" s="120"/>
    </row>
    <row r="47" spans="1:11" ht="15.75" customHeight="1" x14ac:dyDescent="0.25">
      <c r="A47" s="56"/>
      <c r="B47" s="56"/>
      <c r="C47" s="122" t="s">
        <v>149</v>
      </c>
      <c r="D47" s="230" t="str">
        <f>HYPERLINK("https://convenzioni.converge.it/docs/ts3_datasheet/idrac-spec-sheet.pdf","i")</f>
        <v>i</v>
      </c>
      <c r="E47" s="194"/>
      <c r="F47" s="124"/>
      <c r="G47" s="119"/>
      <c r="H47" s="119"/>
      <c r="I47" s="120"/>
      <c r="J47" s="120"/>
      <c r="K47" s="120"/>
    </row>
    <row r="48" spans="1:11" ht="16.5" customHeight="1" x14ac:dyDescent="0.25">
      <c r="A48" s="56"/>
      <c r="B48" s="56"/>
      <c r="C48" s="198" t="s">
        <v>150</v>
      </c>
      <c r="D48" s="230"/>
      <c r="E48" s="194"/>
      <c r="F48" s="124"/>
      <c r="G48" s="119"/>
      <c r="H48" s="119"/>
      <c r="I48" s="121"/>
      <c r="J48" s="120"/>
      <c r="K48" s="120"/>
    </row>
    <row r="49" spans="1:11" ht="15.75" customHeight="1" x14ac:dyDescent="0.25">
      <c r="A49" s="56"/>
      <c r="B49" s="56"/>
      <c r="C49" s="194"/>
      <c r="D49" s="56"/>
      <c r="E49" s="194"/>
      <c r="F49" s="124"/>
      <c r="G49" s="119"/>
      <c r="H49" s="119"/>
      <c r="I49" s="120"/>
      <c r="J49" s="120"/>
      <c r="K49" s="120"/>
    </row>
    <row r="50" spans="1:11" ht="15.75" customHeight="1" x14ac:dyDescent="0.25">
      <c r="A50" s="56"/>
      <c r="B50" s="56"/>
      <c r="C50" s="122" t="s">
        <v>151</v>
      </c>
      <c r="D50" s="56"/>
      <c r="E50" s="194"/>
      <c r="F50" s="124"/>
      <c r="G50" s="119"/>
      <c r="H50" s="119"/>
      <c r="I50" s="121"/>
      <c r="J50" s="120"/>
      <c r="K50" s="120"/>
    </row>
    <row r="51" spans="1:11" ht="16.5" customHeight="1" x14ac:dyDescent="0.25">
      <c r="A51" s="56"/>
      <c r="B51" s="56"/>
      <c r="C51" s="208" t="s">
        <v>400</v>
      </c>
      <c r="D51" s="56"/>
      <c r="E51" s="194"/>
      <c r="F51" s="124"/>
      <c r="G51" s="119"/>
      <c r="H51" s="119"/>
      <c r="I51" s="120"/>
      <c r="J51" s="120"/>
      <c r="K51" s="120"/>
    </row>
    <row r="52" spans="1:11" ht="15.75" customHeight="1" x14ac:dyDescent="0.25">
      <c r="A52" s="56"/>
      <c r="B52" s="56"/>
      <c r="C52" s="202"/>
      <c r="D52" s="56"/>
      <c r="E52" s="194"/>
      <c r="F52" s="124"/>
      <c r="G52" s="119"/>
      <c r="H52" s="119"/>
      <c r="I52" s="121"/>
      <c r="J52" s="120"/>
      <c r="K52" s="120"/>
    </row>
    <row r="53" spans="1:11" ht="15.75" customHeight="1" thickBot="1" x14ac:dyDescent="0.3">
      <c r="A53" s="56"/>
      <c r="B53" s="56"/>
      <c r="C53" s="212" t="s">
        <v>513</v>
      </c>
      <c r="D53" s="56"/>
      <c r="E53" s="194"/>
      <c r="F53" s="124"/>
      <c r="G53" s="119"/>
      <c r="H53" s="119"/>
      <c r="I53" s="120"/>
      <c r="J53" s="120"/>
      <c r="K53" s="120"/>
    </row>
    <row r="54" spans="1:11" ht="16.5" customHeight="1" thickTop="1" thickBot="1" x14ac:dyDescent="0.25">
      <c r="A54" s="56"/>
      <c r="B54" s="56"/>
      <c r="C54" s="200" t="s">
        <v>155</v>
      </c>
      <c r="D54" s="56"/>
      <c r="E54" s="197" t="str">
        <f>VLOOKUP($C54,TS3L2_PCI1,13,FALSE)</f>
        <v/>
      </c>
      <c r="F54" s="151" t="str">
        <f>VLOOKUP($C54,TS3L2_PCI1,7,FALSE)</f>
        <v/>
      </c>
      <c r="G54" s="119"/>
      <c r="H54" s="119"/>
      <c r="I54" s="128">
        <f>VLOOKUP($C54,TS3L2_PCI1,10,FALSE)</f>
        <v>0</v>
      </c>
      <c r="J54" s="128">
        <f>VLOOKUP($C54,TS3L2_PCI1,11,FALSE)</f>
        <v>0</v>
      </c>
      <c r="K54" s="128" t="str">
        <f>VLOOKUP($C54,TS3L2_ALL,12,FALSE)</f>
        <v/>
      </c>
    </row>
    <row r="55" spans="1:11" ht="15.75" customHeight="1" thickTop="1" x14ac:dyDescent="0.25">
      <c r="A55" s="56"/>
      <c r="B55" s="56"/>
      <c r="D55" s="56"/>
      <c r="E55" s="194"/>
      <c r="F55" s="124"/>
      <c r="G55" s="119"/>
      <c r="H55" s="119"/>
      <c r="I55" s="121"/>
      <c r="J55" s="120"/>
      <c r="K55" s="120"/>
    </row>
    <row r="56" spans="1:11" ht="15.75" customHeight="1" thickBot="1" x14ac:dyDescent="0.3">
      <c r="A56" s="56"/>
      <c r="B56" s="56"/>
      <c r="C56" s="209" t="s">
        <v>402</v>
      </c>
      <c r="D56" s="56"/>
      <c r="E56" s="194"/>
      <c r="F56" s="124"/>
      <c r="G56" s="119"/>
      <c r="H56" s="119"/>
      <c r="I56" s="120"/>
      <c r="J56" s="120"/>
      <c r="K56" s="120"/>
    </row>
    <row r="57" spans="1:11" ht="16.5" customHeight="1" thickTop="1" thickBot="1" x14ac:dyDescent="0.25">
      <c r="A57" s="56"/>
      <c r="B57" s="56"/>
      <c r="C57" s="200" t="s">
        <v>155</v>
      </c>
      <c r="D57" s="56"/>
      <c r="E57" s="197" t="str">
        <f>VLOOKUP($C57,TS3L2_PCI2,13,FALSE)</f>
        <v/>
      </c>
      <c r="F57" s="151" t="str">
        <f>VLOOKUP($C57,TS3L2_PCI2,7,FALSE)</f>
        <v/>
      </c>
      <c r="G57" s="119"/>
      <c r="H57" s="119"/>
      <c r="I57" s="128">
        <f>VLOOKUP($C57,TS3L2_PCI2,10,FALSE)</f>
        <v>0</v>
      </c>
      <c r="J57" s="128">
        <f>VLOOKUP($C57,TS3L2_PCI2,11,FALSE)</f>
        <v>0</v>
      </c>
      <c r="K57" s="128" t="str">
        <f>VLOOKUP($C57,TS3L2_ALL,12,FALSE)</f>
        <v/>
      </c>
    </row>
    <row r="58" spans="1:11" ht="15.75" customHeight="1" thickTop="1" x14ac:dyDescent="0.25">
      <c r="A58" s="56"/>
      <c r="B58" s="56"/>
      <c r="D58" s="56"/>
      <c r="E58" s="194"/>
      <c r="F58" s="124"/>
      <c r="G58" s="119"/>
      <c r="H58" s="119"/>
      <c r="I58" s="121"/>
      <c r="J58" s="120"/>
      <c r="K58" s="120"/>
    </row>
    <row r="59" spans="1:11" ht="15.75" customHeight="1" thickBot="1" x14ac:dyDescent="0.3">
      <c r="A59" s="56"/>
      <c r="B59" s="56"/>
      <c r="C59" s="209" t="s">
        <v>403</v>
      </c>
      <c r="D59" s="56"/>
      <c r="E59" s="194"/>
      <c r="F59" s="124"/>
      <c r="G59" s="119"/>
      <c r="H59" s="119"/>
      <c r="I59" s="120"/>
      <c r="J59" s="120"/>
      <c r="K59" s="120"/>
    </row>
    <row r="60" spans="1:11" ht="16.5" customHeight="1" thickTop="1" thickBot="1" x14ac:dyDescent="0.25">
      <c r="A60" s="56"/>
      <c r="B60" s="56"/>
      <c r="C60" s="200" t="s">
        <v>155</v>
      </c>
      <c r="D60" s="56"/>
      <c r="E60" s="197" t="str">
        <f>VLOOKUP($C60,TS3L2_PCI3,13,FALSE)</f>
        <v/>
      </c>
      <c r="F60" s="151" t="str">
        <f>VLOOKUP($C60,TS3L2_PCI3,7,FALSE)</f>
        <v/>
      </c>
      <c r="G60" s="119"/>
      <c r="H60" s="119"/>
      <c r="I60" s="128">
        <f>VLOOKUP($C60,TS3L2_PCI3,10,FALSE)</f>
        <v>0</v>
      </c>
      <c r="J60" s="128">
        <f>VLOOKUP($C60,TS3L2_PCI3,11,FALSE)</f>
        <v>0</v>
      </c>
      <c r="K60" s="128" t="str">
        <f>VLOOKUP($C60,TS3L2_ALL,12,FALSE)</f>
        <v/>
      </c>
    </row>
    <row r="61" spans="1:11" ht="15.75" customHeight="1" thickTop="1" x14ac:dyDescent="0.25">
      <c r="A61" s="56"/>
      <c r="B61" s="56"/>
      <c r="D61" s="56"/>
      <c r="E61" s="194"/>
      <c r="F61" s="124"/>
      <c r="G61" s="119"/>
      <c r="H61" s="119"/>
      <c r="I61" s="121"/>
      <c r="J61" s="120"/>
      <c r="K61" s="120"/>
    </row>
    <row r="62" spans="1:11" ht="15.75" customHeight="1" thickBot="1" x14ac:dyDescent="0.3">
      <c r="A62" s="56"/>
      <c r="B62" s="56"/>
      <c r="C62" s="209" t="s">
        <v>407</v>
      </c>
      <c r="D62" s="56"/>
      <c r="E62" s="194"/>
      <c r="F62" s="124"/>
      <c r="G62" s="119"/>
      <c r="H62" s="119"/>
      <c r="I62" s="120"/>
      <c r="J62" s="120"/>
      <c r="K62" s="120"/>
    </row>
    <row r="63" spans="1:11" ht="16.5" customHeight="1" thickTop="1" thickBot="1" x14ac:dyDescent="0.25">
      <c r="A63" s="56"/>
      <c r="B63" s="56"/>
      <c r="C63" s="200" t="s">
        <v>155</v>
      </c>
      <c r="D63" s="56"/>
      <c r="E63" s="197" t="str">
        <f>IF($I$20&gt;0,VLOOKUP($C63,TS3L2_PCI4,13,FALSE),"")</f>
        <v/>
      </c>
      <c r="F63" s="151" t="str">
        <f>IF($I$20&gt;0,VLOOKUP($C63,TS3L2_PCI4,7,FALSE),"")</f>
        <v/>
      </c>
      <c r="G63" s="119"/>
      <c r="H63" s="119"/>
      <c r="I63" s="128">
        <f>IF($I$20&gt;0,VLOOKUP($C63,TS3L2_PCI4,10,FALSE),0)</f>
        <v>0</v>
      </c>
      <c r="J63" s="128">
        <f>IF($I$20&gt;0,VLOOKUP($C63,TS3L2_PCI4,11,FALSE),0)</f>
        <v>0</v>
      </c>
      <c r="K63" s="128">
        <f>IF($I$20&gt;0,VLOOKUP($C63,TS3L2_ALL,12,FALSE),0)</f>
        <v>0</v>
      </c>
    </row>
    <row r="64" spans="1:11" ht="15.75" customHeight="1" thickTop="1" x14ac:dyDescent="0.25">
      <c r="A64" s="56"/>
      <c r="B64" s="56"/>
      <c r="C64" s="211"/>
      <c r="D64" s="56"/>
      <c r="E64" s="194"/>
      <c r="F64" s="124"/>
      <c r="G64" s="119"/>
      <c r="H64" s="119"/>
      <c r="I64" s="121"/>
      <c r="J64" s="120"/>
      <c r="K64" s="120"/>
    </row>
    <row r="65" spans="1:11" ht="15.75" customHeight="1" thickBot="1" x14ac:dyDescent="0.3">
      <c r="A65" s="56"/>
      <c r="B65" s="56"/>
      <c r="C65" s="209" t="s">
        <v>404</v>
      </c>
      <c r="D65" s="56"/>
      <c r="E65" s="194"/>
      <c r="F65" s="124"/>
      <c r="G65" s="119"/>
      <c r="H65" s="119"/>
      <c r="I65" s="120"/>
      <c r="J65" s="120"/>
      <c r="K65" s="120"/>
    </row>
    <row r="66" spans="1:11" ht="16.5" customHeight="1" thickTop="1" thickBot="1" x14ac:dyDescent="0.25">
      <c r="A66" s="56"/>
      <c r="B66" s="56"/>
      <c r="C66" s="200" t="s">
        <v>155</v>
      </c>
      <c r="D66" s="56"/>
      <c r="E66" s="197" t="str">
        <f>IF($I$20&gt;0,VLOOKUP($C66,TS3L2_PCI5,13,FALSE),"")</f>
        <v/>
      </c>
      <c r="F66" s="151" t="str">
        <f>IF($I$20&gt;0,VLOOKUP($C66,TS3L2_PCI5,7,FALSE),"")</f>
        <v/>
      </c>
      <c r="G66" s="119"/>
      <c r="H66" s="119"/>
      <c r="I66" s="128">
        <f>IF($I$20&gt;0,VLOOKUP($C66,TS3L2_PCI5,10,FALSE),0)</f>
        <v>0</v>
      </c>
      <c r="J66" s="128">
        <f>IF($I$20&gt;0,VLOOKUP($C66,TS3L2_PCI5,11,FALSE),0)</f>
        <v>0</v>
      </c>
      <c r="K66" s="128">
        <f>IF($I$20&gt;0,VLOOKUP($C66,TS3L2_ALL,12,FALSE),0)</f>
        <v>0</v>
      </c>
    </row>
    <row r="67" spans="1:11" ht="15.75" customHeight="1" thickTop="1" x14ac:dyDescent="0.25">
      <c r="A67" s="56"/>
      <c r="B67" s="56"/>
      <c r="D67" s="56"/>
      <c r="E67" s="194"/>
      <c r="F67" s="124"/>
      <c r="G67" s="119"/>
      <c r="H67" s="119"/>
      <c r="I67" s="121"/>
      <c r="J67" s="120"/>
      <c r="K67" s="120"/>
    </row>
    <row r="68" spans="1:11" ht="15.75" customHeight="1" thickBot="1" x14ac:dyDescent="0.3">
      <c r="A68" s="56"/>
      <c r="B68" s="56"/>
      <c r="C68" s="209" t="s">
        <v>405</v>
      </c>
      <c r="D68" s="56"/>
      <c r="E68" s="194"/>
      <c r="F68" s="124"/>
      <c r="G68" s="119"/>
      <c r="H68" s="119"/>
      <c r="I68" s="120"/>
      <c r="J68" s="120"/>
      <c r="K68" s="120"/>
    </row>
    <row r="69" spans="1:11" ht="16.5" customHeight="1" thickTop="1" thickBot="1" x14ac:dyDescent="0.25">
      <c r="A69" s="56"/>
      <c r="B69" s="56"/>
      <c r="C69" s="200" t="s">
        <v>155</v>
      </c>
      <c r="D69" s="56"/>
      <c r="E69" s="197" t="str">
        <f>IF($I$20&gt;0,VLOOKUP($C69,TS3L2_PCI6,13,FALSE),"")</f>
        <v/>
      </c>
      <c r="F69" s="151" t="str">
        <f>IF($I$20&gt;0,VLOOKUP($C69,TS3L2_PCI6,7,FALSE),"")</f>
        <v/>
      </c>
      <c r="G69" s="119"/>
      <c r="H69" s="119"/>
      <c r="I69" s="128">
        <f>IF($I$20&gt;0,VLOOKUP($C69,TS3L2_PCI6,10,FALSE),0)</f>
        <v>0</v>
      </c>
      <c r="J69" s="128">
        <f>IF($I$20&gt;0,VLOOKUP($C69,TS3L2_PCI6,11,FALSE),0)</f>
        <v>0</v>
      </c>
      <c r="K69" s="128">
        <f>IF($I$20&gt;0,VLOOKUP($C69,TS3L2_ALL,12,FALSE),0)</f>
        <v>0</v>
      </c>
    </row>
    <row r="70" spans="1:11" ht="15.75" customHeight="1" thickTop="1" x14ac:dyDescent="0.25">
      <c r="A70" s="56"/>
      <c r="B70" s="56"/>
      <c r="D70" s="56"/>
      <c r="E70" s="194"/>
      <c r="F70" s="124"/>
      <c r="G70" s="119"/>
      <c r="H70" s="119"/>
      <c r="I70" s="121"/>
      <c r="J70" s="120"/>
      <c r="K70" s="120"/>
    </row>
    <row r="71" spans="1:11" ht="15.75" customHeight="1" thickBot="1" x14ac:dyDescent="0.3">
      <c r="A71" s="56"/>
      <c r="B71" s="56"/>
      <c r="C71" s="209" t="s">
        <v>401</v>
      </c>
      <c r="D71" s="56"/>
      <c r="E71" s="194"/>
      <c r="F71" s="124"/>
      <c r="G71" s="119"/>
      <c r="H71" s="119"/>
      <c r="I71" s="120"/>
      <c r="J71" s="120"/>
      <c r="K71" s="120"/>
    </row>
    <row r="72" spans="1:11" ht="16.5" customHeight="1" thickTop="1" thickBot="1" x14ac:dyDescent="0.25">
      <c r="A72" s="56"/>
      <c r="B72" s="56"/>
      <c r="C72" s="200" t="s">
        <v>155</v>
      </c>
      <c r="D72" s="56"/>
      <c r="E72" s="197" t="str">
        <f>IF($I$20&gt;0,VLOOKUP($C72,TS3L2_PCI7,13,FALSE),"")</f>
        <v/>
      </c>
      <c r="F72" s="151" t="str">
        <f>IF($I$20&gt;0,VLOOKUP($C72,TS3L2_PCI7,7,FALSE),"")</f>
        <v/>
      </c>
      <c r="G72" s="119"/>
      <c r="H72" s="119"/>
      <c r="I72" s="128">
        <f>IF($I$20&gt;0,VLOOKUP($C72,TS3L2_PCI7,10,FALSE),0)</f>
        <v>0</v>
      </c>
      <c r="J72" s="128">
        <f>IF($I$20&gt;0,VLOOKUP($C72,TS3L2_PCI7,11,FALSE),0)</f>
        <v>0</v>
      </c>
      <c r="K72" s="128">
        <f>IF($I$20&gt;0,VLOOKUP($C72,TS3L2_ALL,12,FALSE),0)</f>
        <v>0</v>
      </c>
    </row>
    <row r="73" spans="1:11" ht="15.75" customHeight="1" thickTop="1" x14ac:dyDescent="0.25">
      <c r="A73" s="56"/>
      <c r="B73" s="56"/>
      <c r="D73" s="56"/>
      <c r="E73" s="194"/>
      <c r="F73" s="124"/>
      <c r="G73" s="119"/>
      <c r="H73" s="119"/>
      <c r="I73" s="121"/>
      <c r="J73" s="120"/>
      <c r="K73" s="120"/>
    </row>
    <row r="74" spans="1:11" ht="15.75" customHeight="1" thickBot="1" x14ac:dyDescent="0.3">
      <c r="A74" s="56"/>
      <c r="B74" s="56"/>
      <c r="C74" s="209" t="s">
        <v>406</v>
      </c>
      <c r="D74" s="56"/>
      <c r="E74" s="194"/>
      <c r="F74" s="124"/>
      <c r="G74" s="119"/>
      <c r="H74" s="119"/>
      <c r="I74" s="120"/>
      <c r="J74" s="120"/>
      <c r="K74" s="120"/>
    </row>
    <row r="75" spans="1:11" ht="16.5" customHeight="1" thickTop="1" thickBot="1" x14ac:dyDescent="0.25">
      <c r="A75" s="56"/>
      <c r="B75" s="56"/>
      <c r="C75" s="200" t="s">
        <v>155</v>
      </c>
      <c r="D75" s="56"/>
      <c r="E75" s="197" t="str">
        <f>IF($I$20&gt;0,VLOOKUP($C75,TS3L2_PCI8,13,FALSE),"")</f>
        <v/>
      </c>
      <c r="F75" s="151" t="str">
        <f>IF($I$20&gt;0,VLOOKUP($C75,TS3L2_PCI8,7,FALSE),"")</f>
        <v/>
      </c>
      <c r="G75" s="119"/>
      <c r="H75" s="119"/>
      <c r="I75" s="128">
        <f>IF($I$20&gt;0,VLOOKUP($C75,TS3L2_PCI8,10,FALSE),0)</f>
        <v>0</v>
      </c>
      <c r="J75" s="128">
        <f>IF($I$20&gt;0,VLOOKUP($C75,TS3L2_PCI8,11,FALSE),0)</f>
        <v>0</v>
      </c>
      <c r="K75" s="128">
        <f>IF(I$20&gt;0,VLOOKUP($C75,TS3L2_ALL,12,FALSE),0)</f>
        <v>0</v>
      </c>
    </row>
    <row r="76" spans="1:11" ht="15.75" customHeight="1" thickTop="1" x14ac:dyDescent="0.25">
      <c r="A76" s="56"/>
      <c r="B76" s="56"/>
      <c r="C76" s="211"/>
      <c r="D76" s="56"/>
      <c r="E76" s="194"/>
      <c r="F76" s="124"/>
      <c r="G76" s="119"/>
      <c r="H76" s="119"/>
      <c r="I76" s="121"/>
      <c r="J76" s="120"/>
      <c r="K76" s="120"/>
    </row>
    <row r="77" spans="1:11" ht="15" hidden="1" customHeight="1" thickBot="1" x14ac:dyDescent="0.3">
      <c r="A77" s="56"/>
      <c r="B77" s="56"/>
      <c r="C77" s="212" t="s">
        <v>558</v>
      </c>
      <c r="D77" s="56"/>
      <c r="E77" s="194"/>
      <c r="F77" s="124"/>
      <c r="G77" s="119"/>
      <c r="H77" s="119"/>
      <c r="I77" s="121"/>
      <c r="J77" s="120"/>
      <c r="K77" s="120"/>
    </row>
    <row r="78" spans="1:11" ht="15" hidden="1" customHeight="1" thickTop="1" thickBot="1" x14ac:dyDescent="0.25">
      <c r="A78" s="56"/>
      <c r="B78" s="56"/>
      <c r="C78" s="213" t="s">
        <v>532</v>
      </c>
      <c r="D78" s="56"/>
      <c r="E78" s="197" t="str">
        <f>IF(J78&gt;0,VLOOKUP($C78,ConfigurationTS3L2!$A$1:$M$4993,13,FALSE),"")</f>
        <v/>
      </c>
      <c r="F78" s="207"/>
      <c r="G78" s="119"/>
      <c r="H78" s="119"/>
      <c r="I78" s="128">
        <v>0</v>
      </c>
      <c r="J78" s="128">
        <f>F78*ConfigurationTS3L2!K121</f>
        <v>0</v>
      </c>
      <c r="K78" s="128">
        <f>IF(F78&gt;0,VLOOKUP($C78,TS3L2_ALL,12,FALSE),0)</f>
        <v>0</v>
      </c>
    </row>
    <row r="79" spans="1:11" ht="15" hidden="1" customHeight="1" thickTop="1" x14ac:dyDescent="0.25">
      <c r="A79" s="56"/>
      <c r="B79" s="56"/>
      <c r="C79" s="211"/>
      <c r="D79" s="56"/>
      <c r="E79" s="194"/>
      <c r="F79" s="124"/>
      <c r="G79" s="119"/>
      <c r="H79" s="119"/>
      <c r="I79" s="121"/>
      <c r="J79" s="120"/>
      <c r="K79" s="120"/>
    </row>
    <row r="80" spans="1:11" ht="15" hidden="1" customHeight="1" thickBot="1" x14ac:dyDescent="0.3">
      <c r="A80" s="56"/>
      <c r="B80" s="56"/>
      <c r="C80" s="212" t="s">
        <v>559</v>
      </c>
      <c r="D80" s="56"/>
      <c r="E80" s="194"/>
      <c r="F80" s="124"/>
      <c r="G80" s="119"/>
      <c r="H80" s="119"/>
      <c r="I80" s="121"/>
      <c r="J80" s="120"/>
      <c r="K80" s="120"/>
    </row>
    <row r="81" spans="1:17" ht="15" hidden="1" customHeight="1" thickTop="1" thickBot="1" x14ac:dyDescent="0.25">
      <c r="A81" s="56"/>
      <c r="B81" s="56"/>
      <c r="C81" s="213" t="s">
        <v>496</v>
      </c>
      <c r="D81" s="56"/>
      <c r="E81" s="197" t="str">
        <f>IF(J81&gt;0,VLOOKUP($C81,ConfigurationTS3L2!$A$1:$M$4993,13,FALSE),"")</f>
        <v/>
      </c>
      <c r="F81" s="207"/>
      <c r="G81" s="119"/>
      <c r="H81" s="119"/>
      <c r="I81" s="128">
        <v>0</v>
      </c>
      <c r="J81" s="128">
        <f>F81*ConfigurationTS3L2!K120</f>
        <v>0</v>
      </c>
      <c r="K81" s="128">
        <f>IF(F81&gt;0,VLOOKUP($C81,TS3L2_ALL,12,FALSE),0)</f>
        <v>0</v>
      </c>
    </row>
    <row r="82" spans="1:17" ht="15" hidden="1" customHeight="1" thickTop="1" x14ac:dyDescent="0.25">
      <c r="A82" s="56"/>
      <c r="B82" s="56"/>
      <c r="C82" s="211"/>
      <c r="D82" s="56"/>
      <c r="E82" s="194"/>
      <c r="F82" s="124"/>
      <c r="G82" s="119"/>
      <c r="H82" s="119"/>
      <c r="I82" s="121"/>
      <c r="J82" s="120"/>
      <c r="K82" s="120"/>
    </row>
    <row r="83" spans="1:17" ht="15.75" customHeight="1" thickBot="1" x14ac:dyDescent="0.3">
      <c r="A83" s="56"/>
      <c r="B83" s="56"/>
      <c r="C83" s="212" t="s">
        <v>167</v>
      </c>
      <c r="D83" s="56"/>
      <c r="E83" s="194"/>
      <c r="F83" s="124"/>
      <c r="G83" s="119"/>
      <c r="H83" s="119"/>
      <c r="I83" s="121"/>
      <c r="J83" s="120"/>
      <c r="K83" s="120"/>
    </row>
    <row r="84" spans="1:17" ht="16.5" customHeight="1" thickTop="1" thickBot="1" x14ac:dyDescent="0.25">
      <c r="A84" s="56"/>
      <c r="B84" s="56"/>
      <c r="C84" s="213" t="s">
        <v>275</v>
      </c>
      <c r="D84" s="56"/>
      <c r="E84" s="206" t="str">
        <f>IF(J84&gt;0,VLOOKUP($C84,ConfigurationTS3L2!$A$1:$M$4993,13,FALSE),"")</f>
        <v>TS3L2-RJ453M</v>
      </c>
      <c r="F84" s="207">
        <v>3</v>
      </c>
      <c r="G84" s="119"/>
      <c r="H84" s="119"/>
      <c r="I84" s="128">
        <v>0</v>
      </c>
      <c r="J84" s="128">
        <f>IF(F84&gt;1,(F84-1)*ConfigurationTS3L2!K119,0)</f>
        <v>6</v>
      </c>
      <c r="K84" s="128" t="str">
        <f>IF(F84&gt;0,VLOOKUP($C84,TS3L2_ALL,12,FALSE),0)</f>
        <v>L2N26</v>
      </c>
    </row>
    <row r="85" spans="1:17" ht="15.75" customHeight="1" thickTop="1" x14ac:dyDescent="0.25">
      <c r="A85" s="56"/>
      <c r="B85" s="56"/>
      <c r="C85" s="211"/>
      <c r="D85" s="56"/>
      <c r="E85" s="194"/>
      <c r="F85" s="124"/>
      <c r="G85" s="119"/>
      <c r="H85" s="119"/>
      <c r="I85" s="121"/>
      <c r="J85" s="120"/>
      <c r="K85" s="120"/>
    </row>
    <row r="86" spans="1:17" ht="15" hidden="1" customHeight="1" thickBot="1" x14ac:dyDescent="0.3">
      <c r="A86" s="56"/>
      <c r="B86" s="56"/>
      <c r="C86" s="122" t="s">
        <v>113</v>
      </c>
      <c r="D86" s="56"/>
      <c r="E86" s="194"/>
      <c r="F86" s="124"/>
      <c r="G86" s="119"/>
      <c r="H86" s="119"/>
      <c r="I86" s="120"/>
      <c r="J86" s="120"/>
      <c r="K86" s="120"/>
    </row>
    <row r="87" spans="1:17" ht="14.25" hidden="1" thickTop="1" thickBot="1" x14ac:dyDescent="0.25">
      <c r="A87" s="56"/>
      <c r="B87" s="56"/>
      <c r="C87" s="200" t="s">
        <v>112</v>
      </c>
      <c r="D87" s="56"/>
      <c r="E87" s="197" t="str">
        <f>IF(J87&gt;0,VLOOKUP($C87,ConfigurationTS3L2!$A$1:$M$4993,13,FALSE),"")</f>
        <v/>
      </c>
      <c r="F87" s="151" t="str">
        <f>IF(C87=ConfigurationTS3L2!A151,"",VLOOKUP($C87,TS3L2_BEZEL,7,FALSE))</f>
        <v/>
      </c>
      <c r="G87" s="119"/>
      <c r="H87" s="119"/>
      <c r="I87" s="128">
        <f>IF(C87=ConfigurationTS3L2!A151,0,VLOOKUP($C87,TS3L2_BEZEL,10,FALSE))</f>
        <v>0</v>
      </c>
      <c r="J87" s="128">
        <f>IF(C87=ConfigurationTS3L2!A151,0,VLOOKUP($C87,TS3L2_BEZEL,11,FALSE))</f>
        <v>0</v>
      </c>
      <c r="K87" s="128" t="str">
        <f>IF(C87=ConfigurationTS3L2!A151,0,VLOOKUP($C87,TS3L2_ALL,12,FALSE))</f>
        <v/>
      </c>
    </row>
    <row r="88" spans="1:17" ht="15" hidden="1" customHeight="1" thickTop="1" x14ac:dyDescent="0.25">
      <c r="A88" s="125"/>
      <c r="B88" s="56"/>
      <c r="C88" s="201"/>
      <c r="D88" s="56"/>
      <c r="E88" s="194"/>
      <c r="F88" s="124"/>
      <c r="G88" s="119"/>
      <c r="H88" s="119"/>
      <c r="I88" s="121"/>
      <c r="J88" s="120"/>
      <c r="K88" s="120"/>
    </row>
    <row r="89" spans="1:17" ht="15.75" customHeight="1" thickBot="1" x14ac:dyDescent="0.3">
      <c r="A89" s="56"/>
      <c r="B89" s="56"/>
      <c r="C89" s="203" t="s">
        <v>156</v>
      </c>
      <c r="D89" s="230" t="str">
        <f>HYPERLINK("https://convenzioni.converge.it/docs/ts3_datasheet/TS3warranty.pdf","i")</f>
        <v>i</v>
      </c>
      <c r="E89" s="194"/>
      <c r="F89" s="124"/>
      <c r="G89" s="119"/>
      <c r="H89" s="119"/>
      <c r="I89" s="120"/>
      <c r="J89" s="120"/>
      <c r="K89" s="120"/>
    </row>
    <row r="90" spans="1:17" ht="16.5" customHeight="1" thickTop="1" thickBot="1" x14ac:dyDescent="0.25">
      <c r="A90" s="56"/>
      <c r="B90" s="56"/>
      <c r="C90" s="200" t="s">
        <v>134</v>
      </c>
      <c r="D90" s="230"/>
      <c r="E90" s="197" t="str">
        <f>VLOOKUP($C90,TS3L2_WARRANTY,13,FALSE)</f>
        <v/>
      </c>
      <c r="F90" s="151" t="str">
        <f>VLOOKUP($C90,TS3L2_WARRANTY,7,FALSE)</f>
        <v/>
      </c>
      <c r="G90" s="119"/>
      <c r="H90" s="119"/>
      <c r="I90" s="128">
        <f>VLOOKUP($C90,TS3L2_WARRANTY,10,FALSE)</f>
        <v>0</v>
      </c>
      <c r="J90" s="128">
        <f>VLOOKUP($C90,TS3L2_WARRANTY,11,FALSE)</f>
        <v>0</v>
      </c>
      <c r="K90" s="128" t="str">
        <f>VLOOKUP($C90,TS3L2_ALL,12,FALSE)</f>
        <v/>
      </c>
    </row>
    <row r="91" spans="1:17" ht="15.75" customHeight="1" thickTop="1" x14ac:dyDescent="0.25">
      <c r="A91" s="56"/>
      <c r="B91" s="56"/>
      <c r="C91" s="201"/>
      <c r="D91" s="56"/>
      <c r="E91" s="194"/>
      <c r="F91" s="124"/>
      <c r="G91" s="119"/>
      <c r="H91" s="119"/>
      <c r="I91" s="121"/>
      <c r="J91" s="120"/>
      <c r="K91" s="120"/>
    </row>
    <row r="92" spans="1:17" ht="15.75" customHeight="1" thickBot="1" x14ac:dyDescent="0.3">
      <c r="A92" s="125"/>
      <c r="B92" s="56"/>
      <c r="C92" s="203" t="s">
        <v>148</v>
      </c>
      <c r="D92" s="230" t="str">
        <f>HYPERLINK("https://convenzioni.converge.it/docs/ts3_datasheet/DELL_HDD_KYHD.pdf","i")</f>
        <v>i</v>
      </c>
      <c r="E92" s="194"/>
      <c r="F92" s="124"/>
      <c r="G92" s="119"/>
      <c r="H92" s="119"/>
      <c r="I92" s="120"/>
      <c r="J92" s="120"/>
      <c r="K92" s="120"/>
    </row>
    <row r="93" spans="1:17" ht="16.5" customHeight="1" thickTop="1" thickBot="1" x14ac:dyDescent="0.25">
      <c r="A93" s="56"/>
      <c r="B93" s="56"/>
      <c r="C93" s="200" t="s">
        <v>155</v>
      </c>
      <c r="D93" s="230"/>
      <c r="E93" s="197" t="str">
        <f>IFERROR($N$93,VLOOKUP($C93,TS3L2_ALL,13,FALSE))</f>
        <v/>
      </c>
      <c r="F93" s="151" t="str">
        <f>IF(C93="","",1)</f>
        <v/>
      </c>
      <c r="G93" s="119"/>
      <c r="H93" s="119"/>
      <c r="I93" s="128">
        <f>IFERROR($O$93,VLOOKUP($C93,TS3L2_ALL,10,FALSE))</f>
        <v>0</v>
      </c>
      <c r="J93" s="128">
        <f>IFERROR($P$93,VLOOKUP($C93,TS3L2_ALL,11,FALSE))</f>
        <v>0</v>
      </c>
      <c r="K93" s="128" t="str">
        <f>IFERROR($Q$93,VLOOKUP($C93,TS3L2_ALL,12,FALSE))</f>
        <v/>
      </c>
      <c r="N93" s="79" t="e">
        <f>IF($F$90+$F$93=2,VLOOKUP("Hard Disk Retention (60 mesi)",TS3L2_ALL,13,FALSE),VLOOKUP($C93,TS3L2_ALL,13,FALSE))</f>
        <v>#VALUE!</v>
      </c>
      <c r="O93" s="79" t="e">
        <f>IF($F$90+$F$93=2,VLOOKUP("Hard Disk Retention (60 mesi)",TS3L2_ALL,10,FALSE),VLOOKUP($C93,TS3L2_ALL,10,FALSE))</f>
        <v>#VALUE!</v>
      </c>
      <c r="P93" s="79" t="e">
        <f>IF($F$90+$F$93=2,VLOOKUP("Hard Disk Retention (60 mesi)",TS3L2_ALL,11,FALSE),VLOOKUP($C93,TS3L2_ALL,11,FALSE))</f>
        <v>#VALUE!</v>
      </c>
      <c r="Q93" s="79" t="e">
        <f>IF($F$90+$F$93=2,VLOOKUP("Hard Disk Retention (60 mesi)",TS3L2_ALL,12,FALSE),VLOOKUP($C93,TS3L2_ALL,12,FALSE))</f>
        <v>#VALUE!</v>
      </c>
    </row>
    <row r="94" spans="1:17" ht="15.75" customHeight="1" thickTop="1" thickBot="1" x14ac:dyDescent="0.3">
      <c r="A94" s="56"/>
      <c r="B94" s="56"/>
      <c r="C94" s="187"/>
      <c r="D94" s="56"/>
      <c r="E94" s="194"/>
      <c r="F94" s="194"/>
      <c r="G94" s="120"/>
      <c r="H94" s="119"/>
      <c r="I94" s="121"/>
      <c r="J94" s="120"/>
      <c r="K94" s="120"/>
    </row>
    <row r="95" spans="1:17" ht="15.75" customHeight="1" thickTop="1" x14ac:dyDescent="0.25">
      <c r="A95" s="129"/>
      <c r="B95" s="129"/>
      <c r="C95" s="214"/>
      <c r="D95" s="129"/>
      <c r="E95" s="215"/>
      <c r="F95" s="215"/>
      <c r="G95" s="130"/>
      <c r="H95" s="130"/>
      <c r="I95" s="131"/>
      <c r="J95" s="130"/>
      <c r="K95" s="106"/>
    </row>
    <row r="96" spans="1:17" ht="15.75" customHeight="1" thickBot="1" x14ac:dyDescent="0.3">
      <c r="A96" s="120"/>
      <c r="B96" s="120"/>
      <c r="C96" s="203" t="s">
        <v>158</v>
      </c>
      <c r="D96" s="230" t="str">
        <f>HYPERLINK("https://convenzioni.converge.it/docs/ts3_datasheet/RPMM_UPS.pdf","i")</f>
        <v>i</v>
      </c>
      <c r="E96" s="194"/>
      <c r="F96" s="124"/>
      <c r="G96" s="119"/>
      <c r="H96" s="119"/>
      <c r="I96" s="120"/>
      <c r="J96" s="120"/>
      <c r="K96" s="120"/>
    </row>
    <row r="97" spans="1:11" ht="16.5" customHeight="1" thickTop="1" thickBot="1" x14ac:dyDescent="0.25">
      <c r="A97" s="56"/>
      <c r="B97" s="56"/>
      <c r="C97" s="200" t="s">
        <v>155</v>
      </c>
      <c r="D97" s="230"/>
      <c r="E97" s="197" t="str">
        <f>VLOOKUP($C97,TS3L2_UPS,13,FALSE)</f>
        <v/>
      </c>
      <c r="F97" s="151" t="str">
        <f>VLOOKUP($C97,TS3L2_UPS,7,FALSE)</f>
        <v/>
      </c>
      <c r="G97" s="119"/>
      <c r="H97" s="119"/>
      <c r="I97" s="128">
        <f>VLOOKUP($C97,TS3L2_UPS,10,FALSE)</f>
        <v>0</v>
      </c>
      <c r="J97" s="128">
        <f>VLOOKUP($C97,TS3L2_UPS,11,FALSE)</f>
        <v>0</v>
      </c>
      <c r="K97" s="128" t="str">
        <f>VLOOKUP($C97,TS3L2_ALL,12,FALSE)</f>
        <v/>
      </c>
    </row>
    <row r="98" spans="1:11" ht="15.75" customHeight="1" thickTop="1" x14ac:dyDescent="0.25">
      <c r="A98" s="56"/>
      <c r="B98" s="56"/>
      <c r="C98" s="187"/>
      <c r="D98" s="56"/>
      <c r="E98" s="194"/>
      <c r="F98" s="194"/>
      <c r="G98" s="119"/>
      <c r="H98" s="120"/>
      <c r="I98" s="121"/>
      <c r="J98" s="120"/>
      <c r="K98" s="120"/>
    </row>
    <row r="99" spans="1:11" ht="15.75" customHeight="1" thickBot="1" x14ac:dyDescent="0.3">
      <c r="A99" s="56"/>
      <c r="B99" s="125"/>
      <c r="C99" s="203" t="s">
        <v>165</v>
      </c>
      <c r="D99" s="230" t="str">
        <f>HYPERLINK("https://convenzioni.converge.it/docs/ts3_datasheet/Dell_E1916H.pdf","i")</f>
        <v>i</v>
      </c>
      <c r="E99" s="194"/>
      <c r="F99" s="124"/>
      <c r="G99" s="119"/>
      <c r="H99" s="119"/>
      <c r="I99" s="120"/>
      <c r="J99" s="120"/>
      <c r="K99" s="120"/>
    </row>
    <row r="100" spans="1:11" ht="16.5" customHeight="1" thickTop="1" thickBot="1" x14ac:dyDescent="0.25">
      <c r="A100" s="56"/>
      <c r="B100" s="56"/>
      <c r="C100" s="200" t="s">
        <v>155</v>
      </c>
      <c r="D100" s="230"/>
      <c r="E100" s="197" t="str">
        <f>VLOOKUP($C100,TS3L2_GUI,13,FALSE)</f>
        <v/>
      </c>
      <c r="F100" s="151" t="str">
        <f>VLOOKUP($C100,TS3L2_GUI,7,FALSE)</f>
        <v/>
      </c>
      <c r="G100" s="119"/>
      <c r="H100" s="119"/>
      <c r="I100" s="128">
        <f>VLOOKUP($C100,TS3L2_GUI,10,FALSE)</f>
        <v>0</v>
      </c>
      <c r="J100" s="128">
        <f>VLOOKUP($C100,TS3L2_GUI,11,FALSE)</f>
        <v>0</v>
      </c>
      <c r="K100" s="128" t="str">
        <f>VLOOKUP($C100,TS3L2_ALL,12,FALSE)</f>
        <v/>
      </c>
    </row>
    <row r="101" spans="1:11" ht="15.75" customHeight="1" thickTop="1" x14ac:dyDescent="0.25">
      <c r="A101" s="56"/>
      <c r="B101" s="56"/>
      <c r="C101" s="187"/>
      <c r="D101" s="56"/>
      <c r="E101" s="194"/>
      <c r="F101" s="194"/>
      <c r="G101" s="119"/>
      <c r="H101" s="120"/>
      <c r="I101" s="121"/>
      <c r="J101" s="120"/>
      <c r="K101" s="120"/>
    </row>
    <row r="102" spans="1:11" ht="15" hidden="1" customHeight="1" x14ac:dyDescent="0.25"/>
    <row r="103" spans="1:11" ht="15" hidden="1" customHeight="1" x14ac:dyDescent="0.25"/>
    <row r="104" spans="1:11" ht="15" hidden="1" customHeight="1" x14ac:dyDescent="0.25"/>
    <row r="105" spans="1:11" ht="15" hidden="1" customHeight="1" x14ac:dyDescent="0.25"/>
    <row r="106" spans="1:11" ht="15" hidden="1" customHeight="1" x14ac:dyDescent="0.25"/>
    <row r="107" spans="1:11" ht="15" hidden="1" customHeight="1" x14ac:dyDescent="0.25"/>
    <row r="108" spans="1:11" ht="15" hidden="1" customHeight="1" x14ac:dyDescent="0.25"/>
    <row r="109" spans="1:11" ht="15" hidden="1" customHeight="1" x14ac:dyDescent="0.25"/>
    <row r="110" spans="1:11" ht="15" hidden="1" customHeight="1" x14ac:dyDescent="0.25"/>
    <row r="111" spans="1:11" ht="15" hidden="1" customHeight="1" x14ac:dyDescent="0.25"/>
    <row r="112" spans="1:11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</sheetData>
  <sheetProtection algorithmName="SHA-512" hashValue="TPtWRt045BichrYJzK+3mKZW03A7BaGyoglz4D/qayLD1zPRRHfFtidYdOXeI9HmLguBS/+akrzN5oOauNEgeg==" saltValue="0faMTpj+vmjg9ciA3GxNFQ==" spinCount="100000" sheet="1" objects="1" scenarios="1"/>
  <mergeCells count="11">
    <mergeCell ref="H30:H40"/>
    <mergeCell ref="C31:C32"/>
    <mergeCell ref="D7:D8"/>
    <mergeCell ref="D10:D11"/>
    <mergeCell ref="D16:D17"/>
    <mergeCell ref="D28:D29"/>
    <mergeCell ref="D47:D48"/>
    <mergeCell ref="D89:D90"/>
    <mergeCell ref="D92:D93"/>
    <mergeCell ref="D96:D97"/>
    <mergeCell ref="D99:D100"/>
  </mergeCells>
  <conditionalFormatting sqref="E26:F26">
    <cfRule type="expression" dxfId="75" priority="90">
      <formula>$J26&gt;0</formula>
    </cfRule>
  </conditionalFormatting>
  <conditionalFormatting sqref="E23:F23">
    <cfRule type="expression" dxfId="74" priority="88">
      <formula>$J23&gt;0</formula>
    </cfRule>
  </conditionalFormatting>
  <conditionalFormatting sqref="E97:F97">
    <cfRule type="expression" dxfId="73" priority="86">
      <formula>$J97&gt;0</formula>
    </cfRule>
  </conditionalFormatting>
  <conditionalFormatting sqref="E100:F100">
    <cfRule type="expression" dxfId="72" priority="84">
      <formula>$J100&gt;0</formula>
    </cfRule>
  </conditionalFormatting>
  <conditionalFormatting sqref="E20">
    <cfRule type="expression" dxfId="71" priority="79">
      <formula>$J20&gt;0</formula>
    </cfRule>
  </conditionalFormatting>
  <conditionalFormatting sqref="E27">
    <cfRule type="expression" dxfId="70" priority="77">
      <formula>$J27&gt;0</formula>
    </cfRule>
  </conditionalFormatting>
  <conditionalFormatting sqref="E31:F31">
    <cfRule type="expression" dxfId="69" priority="71">
      <formula>$J31&gt;0</formula>
    </cfRule>
  </conditionalFormatting>
  <conditionalFormatting sqref="E32:F32">
    <cfRule type="expression" dxfId="68" priority="70">
      <formula>$J32&gt;0</formula>
    </cfRule>
  </conditionalFormatting>
  <conditionalFormatting sqref="E69:F69">
    <cfRule type="expression" dxfId="67" priority="63">
      <formula>$J69&gt;0</formula>
    </cfRule>
  </conditionalFormatting>
  <conditionalFormatting sqref="E72:F72">
    <cfRule type="expression" dxfId="66" priority="62">
      <formula>$J72&gt;0</formula>
    </cfRule>
  </conditionalFormatting>
  <conditionalFormatting sqref="E75:F75">
    <cfRule type="expression" dxfId="65" priority="61">
      <formula>$J75&gt;0</formula>
    </cfRule>
  </conditionalFormatting>
  <conditionalFormatting sqref="E63:F63">
    <cfRule type="expression" dxfId="64" priority="65">
      <formula>$J63&gt;0</formula>
    </cfRule>
  </conditionalFormatting>
  <conditionalFormatting sqref="E66:F66">
    <cfRule type="expression" dxfId="63" priority="64">
      <formula>$J66&gt;0</formula>
    </cfRule>
  </conditionalFormatting>
  <conditionalFormatting sqref="E81">
    <cfRule type="expression" dxfId="62" priority="52">
      <formula>$J81&gt;0</formula>
    </cfRule>
  </conditionalFormatting>
  <conditionalFormatting sqref="C81">
    <cfRule type="expression" dxfId="61" priority="54">
      <formula>$J81&gt;0</formula>
    </cfRule>
  </conditionalFormatting>
  <conditionalFormatting sqref="C78">
    <cfRule type="expression" dxfId="60" priority="51">
      <formula>$J78&gt;0</formula>
    </cfRule>
  </conditionalFormatting>
  <conditionalFormatting sqref="F11">
    <cfRule type="expression" dxfId="59" priority="49">
      <formula>$J11&gt;0</formula>
    </cfRule>
  </conditionalFormatting>
  <conditionalFormatting sqref="C45">
    <cfRule type="expression" dxfId="58" priority="107">
      <formula>$J45&gt;0</formula>
    </cfRule>
  </conditionalFormatting>
  <conditionalFormatting sqref="E57:F57">
    <cfRule type="expression" dxfId="57" priority="105">
      <formula>$J57&gt;0</formula>
    </cfRule>
  </conditionalFormatting>
  <conditionalFormatting sqref="E90:F90">
    <cfRule type="expression" dxfId="56" priority="99">
      <formula>$J90&gt;0</formula>
    </cfRule>
  </conditionalFormatting>
  <conditionalFormatting sqref="F23">
    <cfRule type="expression" dxfId="55" priority="81">
      <formula>$F$23=0</formula>
    </cfRule>
  </conditionalFormatting>
  <conditionalFormatting sqref="F20">
    <cfRule type="expression" dxfId="54" priority="78">
      <formula>$F$20=0</formula>
    </cfRule>
  </conditionalFormatting>
  <conditionalFormatting sqref="F32">
    <cfRule type="cellIs" dxfId="53" priority="69" operator="lessThan">
      <formula>0</formula>
    </cfRule>
  </conditionalFormatting>
  <conditionalFormatting sqref="E60:F60">
    <cfRule type="expression" dxfId="52" priority="66">
      <formula>$J60&gt;0</formula>
    </cfRule>
  </conditionalFormatting>
  <conditionalFormatting sqref="E54:F54">
    <cfRule type="expression" dxfId="51" priority="67">
      <formula>$J54&gt;0</formula>
    </cfRule>
  </conditionalFormatting>
  <conditionalFormatting sqref="E11">
    <cfRule type="expression" dxfId="50" priority="55">
      <formula>$J11&gt;0</formula>
    </cfRule>
  </conditionalFormatting>
  <conditionalFormatting sqref="E78">
    <cfRule type="expression" dxfId="49" priority="50">
      <formula>$J78&gt;0</formula>
    </cfRule>
  </conditionalFormatting>
  <conditionalFormatting sqref="F87">
    <cfRule type="expression" dxfId="48" priority="46">
      <formula>$J87&gt;0</formula>
    </cfRule>
  </conditionalFormatting>
  <conditionalFormatting sqref="E87">
    <cfRule type="expression" dxfId="47" priority="45">
      <formula>$J87&gt;0</formula>
    </cfRule>
  </conditionalFormatting>
  <conditionalFormatting sqref="F27">
    <cfRule type="expression" dxfId="46" priority="44">
      <formula>$J27&gt;0</formula>
    </cfRule>
  </conditionalFormatting>
  <conditionalFormatting sqref="F27">
    <cfRule type="expression" dxfId="45" priority="43">
      <formula>$F$27=0</formula>
    </cfRule>
  </conditionalFormatting>
  <conditionalFormatting sqref="C11">
    <cfRule type="expression" dxfId="44" priority="32">
      <formula>$J11&gt;0</formula>
    </cfRule>
  </conditionalFormatting>
  <conditionalFormatting sqref="C26">
    <cfRule type="expression" dxfId="43" priority="31">
      <formula>$J26&gt;0</formula>
    </cfRule>
  </conditionalFormatting>
  <conditionalFormatting sqref="C23">
    <cfRule type="expression" dxfId="42" priority="30">
      <formula>$J23&gt;0</formula>
    </cfRule>
  </conditionalFormatting>
  <conditionalFormatting sqref="C20">
    <cfRule type="expression" dxfId="41" priority="29">
      <formula>$J20&gt;0</formula>
    </cfRule>
  </conditionalFormatting>
  <conditionalFormatting sqref="E40:F40">
    <cfRule type="expression" dxfId="40" priority="28">
      <formula>$J40&gt;0</formula>
    </cfRule>
  </conditionalFormatting>
  <conditionalFormatting sqref="E38:F38">
    <cfRule type="expression" dxfId="39" priority="27">
      <formula>$J38&gt;0</formula>
    </cfRule>
  </conditionalFormatting>
  <conditionalFormatting sqref="E36:F36">
    <cfRule type="expression" dxfId="38" priority="26">
      <formula>$J36&gt;0</formula>
    </cfRule>
  </conditionalFormatting>
  <conditionalFormatting sqref="E34:F34">
    <cfRule type="expression" dxfId="37" priority="24">
      <formula>$J34&gt;0</formula>
    </cfRule>
  </conditionalFormatting>
  <conditionalFormatting sqref="E42:F42">
    <cfRule type="expression" dxfId="36" priority="23">
      <formula>$J42&gt;0</formula>
    </cfRule>
  </conditionalFormatting>
  <conditionalFormatting sqref="C36">
    <cfRule type="expression" dxfId="35" priority="22">
      <formula>$J36&gt;0</formula>
    </cfRule>
  </conditionalFormatting>
  <conditionalFormatting sqref="C38">
    <cfRule type="expression" dxfId="34" priority="21">
      <formula>$J38&gt;0</formula>
    </cfRule>
  </conditionalFormatting>
  <conditionalFormatting sqref="C40">
    <cfRule type="expression" dxfId="33" priority="20">
      <formula>$J40&gt;0</formula>
    </cfRule>
  </conditionalFormatting>
  <conditionalFormatting sqref="C42">
    <cfRule type="expression" dxfId="32" priority="19">
      <formula>$J42&gt;0</formula>
    </cfRule>
  </conditionalFormatting>
  <conditionalFormatting sqref="C57">
    <cfRule type="expression" dxfId="31" priority="18">
      <formula>$J57&gt;0</formula>
    </cfRule>
  </conditionalFormatting>
  <conditionalFormatting sqref="C60">
    <cfRule type="expression" dxfId="30" priority="17">
      <formula>$J60&gt;0</formula>
    </cfRule>
  </conditionalFormatting>
  <conditionalFormatting sqref="C63">
    <cfRule type="expression" dxfId="29" priority="16">
      <formula>$J63&gt;0</formula>
    </cfRule>
  </conditionalFormatting>
  <conditionalFormatting sqref="C54">
    <cfRule type="expression" dxfId="28" priority="15">
      <formula>$J54&gt;0</formula>
    </cfRule>
  </conditionalFormatting>
  <conditionalFormatting sqref="C66">
    <cfRule type="expression" dxfId="27" priority="14">
      <formula>$J66&gt;0</formula>
    </cfRule>
  </conditionalFormatting>
  <conditionalFormatting sqref="C75">
    <cfRule type="expression" dxfId="26" priority="11">
      <formula>$J75&gt;0</formula>
    </cfRule>
  </conditionalFormatting>
  <conditionalFormatting sqref="C69">
    <cfRule type="expression" dxfId="25" priority="13">
      <formula>$J69&gt;0</formula>
    </cfRule>
  </conditionalFormatting>
  <conditionalFormatting sqref="C72">
    <cfRule type="expression" dxfId="24" priority="12">
      <formula>$J72&gt;0</formula>
    </cfRule>
  </conditionalFormatting>
  <conditionalFormatting sqref="C90">
    <cfRule type="expression" dxfId="23" priority="9">
      <formula>$J90&gt;0</formula>
    </cfRule>
  </conditionalFormatting>
  <conditionalFormatting sqref="C87">
    <cfRule type="expression" dxfId="22" priority="10">
      <formula>$J87&gt;0</formula>
    </cfRule>
  </conditionalFormatting>
  <conditionalFormatting sqref="C97">
    <cfRule type="expression" dxfId="21" priority="7">
      <formula>$J97&gt;0</formula>
    </cfRule>
  </conditionalFormatting>
  <conditionalFormatting sqref="C100">
    <cfRule type="expression" dxfId="20" priority="6">
      <formula>$J100&gt;0</formula>
    </cfRule>
  </conditionalFormatting>
  <conditionalFormatting sqref="E84">
    <cfRule type="expression" dxfId="19" priority="5">
      <formula>$J84&gt;0</formula>
    </cfRule>
  </conditionalFormatting>
  <conditionalFormatting sqref="C84">
    <cfRule type="expression" dxfId="18" priority="4">
      <formula>$J84&gt;0</formula>
    </cfRule>
  </conditionalFormatting>
  <conditionalFormatting sqref="C34">
    <cfRule type="expression" dxfId="17" priority="3">
      <formula>$J34&gt;0</formula>
    </cfRule>
  </conditionalFormatting>
  <conditionalFormatting sqref="C29">
    <cfRule type="expression" dxfId="16" priority="2">
      <formula>$J29&gt;0</formula>
    </cfRule>
  </conditionalFormatting>
  <conditionalFormatting sqref="E29:F29">
    <cfRule type="expression" dxfId="15" priority="1">
      <formula>$J29&gt;0</formula>
    </cfRule>
  </conditionalFormatting>
  <dataValidations count="1">
    <dataValidation type="list" allowBlank="1" showErrorMessage="1" sqref="C41" xr:uid="{00000000-0002-0000-0200-000000000000}">
      <formula1>$A$21:$A$27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 xr:uid="{00000000-0002-0000-0200-000001000000}">
          <x14:formula1>
            <xm:f>ConfigurationTS3L2!$A$6:$A$7</xm:f>
          </x14:formula1>
          <xm:sqref>C11</xm:sqref>
        </x14:dataValidation>
        <x14:dataValidation type="list" allowBlank="1" showErrorMessage="1" xr:uid="{00000000-0002-0000-0200-000002000000}">
          <x14:formula1>
            <xm:f>IF($I$20&gt;0,ConfigurationTS3L2!$A$116:$A$117,ConfigurationTS3L2!$A$60:$A$61)</xm:f>
          </x14:formula1>
          <xm:sqref>C75</xm:sqref>
        </x14:dataValidation>
        <x14:dataValidation type="list" allowBlank="1" showErrorMessage="1" xr:uid="{00000000-0002-0000-0200-000003000000}">
          <x14:formula1>
            <xm:f>IF($I$20&gt;0,ConfigurationTS3L2!$A$106:$A$113,ConfigurationTS3L2!$A$60:$A$61)</xm:f>
          </x14:formula1>
          <xm:sqref>C72</xm:sqref>
        </x14:dataValidation>
        <x14:dataValidation type="list" allowBlank="1" showErrorMessage="1" xr:uid="{00000000-0002-0000-0200-000004000000}">
          <x14:formula1>
            <xm:f>IF($I$20&gt;0,ConfigurationTS3L2!$A$96:$A$103,ConfigurationTS3L2!$A$60:$A$61)</xm:f>
          </x14:formula1>
          <xm:sqref>C69</xm:sqref>
        </x14:dataValidation>
        <x14:dataValidation type="list" allowBlank="1" showErrorMessage="1" xr:uid="{00000000-0002-0000-0200-000005000000}">
          <x14:formula1>
            <xm:f>IF($I$20&gt;0,ConfigurationTS3L2!$A$92:$A$93,ConfigurationTS3L2!$A$60:$A$61)</xm:f>
          </x14:formula1>
          <xm:sqref>C66</xm:sqref>
        </x14:dataValidation>
        <x14:dataValidation type="list" allowBlank="1" showErrorMessage="1" xr:uid="{00000000-0002-0000-0200-000006000000}">
          <x14:formula1>
            <xm:f>IF($I$20&gt;0,ConfigurationTS3L2!$A$82:$A$89,ConfigurationTS3L2!$A$60:$A$61)</xm:f>
          </x14:formula1>
          <xm:sqref>C63</xm:sqref>
        </x14:dataValidation>
        <x14:dataValidation type="list" allowBlank="1" showErrorMessage="1" xr:uid="{00000000-0002-0000-0200-000007000000}">
          <x14:formula1>
            <xm:f>ConfigurationTS3L2!$A$74:$A$75</xm:f>
          </x14:formula1>
          <xm:sqref>C57</xm:sqref>
        </x14:dataValidation>
        <x14:dataValidation type="list" allowBlank="1" showErrorMessage="1" xr:uid="{00000000-0002-0000-0200-000008000000}">
          <x14:formula1>
            <xm:f>ConfigurationTS3L2!$A$10:$A$11</xm:f>
          </x14:formula1>
          <xm:sqref>C20</xm:sqref>
        </x14:dataValidation>
        <x14:dataValidation type="list" allowBlank="1" showErrorMessage="1" xr:uid="{00000000-0002-0000-0200-000009000000}">
          <x14:formula1>
            <xm:f>ConfigurationTS3L2!$A$64:$A$71</xm:f>
          </x14:formula1>
          <xm:sqref>C54</xm:sqref>
        </x14:dataValidation>
        <x14:dataValidation type="list" allowBlank="1" showErrorMessage="1" prompt="Kit Graphical User Interface (GUI), costituito da un monitor da tavolo TFT 17”, con risoluzione di 1024x768, intervallo di frequenze orizzontali di almeno 30KHz-60KHz, da una tastiera e da un dispositivo di puntamento (mouse)." xr:uid="{00000000-0002-0000-0200-00000A000000}">
          <x14:formula1>
            <xm:f>ConfigurationTS3L2!$A$147:$A$148</xm:f>
          </x14:formula1>
          <xm:sqref>C100</xm:sqref>
        </x14:dataValidation>
        <x14:dataValidation type="list" allowBlank="1" showErrorMessage="1" xr:uid="{00000000-0002-0000-0200-00000B000000}">
          <x14:formula1>
            <xm:f>ConfigurationTS3L2!$A$143:$A$144</xm:f>
          </x14:formula1>
          <xm:sqref>C97</xm:sqref>
        </x14:dataValidation>
        <x14:dataValidation type="list" allowBlank="1" showErrorMessage="1" xr:uid="{00000000-0002-0000-0200-00000C000000}">
          <x14:formula1>
            <xm:f>ConfigurationTS3L2!$A$138:$A$139</xm:f>
          </x14:formula1>
          <xm:sqref>C93</xm:sqref>
        </x14:dataValidation>
        <x14:dataValidation type="list" allowBlank="1" showErrorMessage="1" xr:uid="{00000000-0002-0000-0200-00000D000000}">
          <x14:formula1>
            <xm:f>ConfigurationTS3L2!$A$134:$A$135</xm:f>
          </x14:formula1>
          <xm:sqref>C90</xm:sqref>
        </x14:dataValidation>
        <x14:dataValidation type="list" allowBlank="1" showErrorMessage="1" xr:uid="{00000000-0002-0000-0200-00000E000000}">
          <x14:formula1>
            <xm:f>ConfigurationTS3L2!$A$78:$A$79</xm:f>
          </x14:formula1>
          <xm:sqref>C60</xm:sqref>
        </x14:dataValidation>
        <x14:dataValidation type="list" allowBlank="1" showErrorMessage="1" xr:uid="{00000000-0002-0000-0200-00000F000000}">
          <x14:formula1>
            <xm:f>ConfigurationTS3L2!$A$37:$A$39</xm:f>
          </x14:formula1>
          <xm:sqref>C26</xm:sqref>
        </x14:dataValidation>
        <x14:dataValidation type="list" allowBlank="1" showErrorMessage="1" xr:uid="{00000000-0002-0000-0200-000010000000}">
          <x14:formula1>
            <xm:f>IF($J$11&gt;0,ConfigurationTS3L2!$A$150:$A$151,ConfigurationTS3L2!$A$124:$A$126)</xm:f>
          </x14:formula1>
          <xm:sqref>C87</xm:sqref>
        </x14:dataValidation>
        <x14:dataValidation type="list" allowBlank="1" showErrorMessage="1" xr:uid="{00000000-0002-0000-0200-000011000000}">
          <x14:formula1>
            <xm:f>IF($F$20=1,ConfigurationTS3L2!$A$23:$A$34,ConfigurationTS3L2!$A$14:$A$20)</xm:f>
          </x14:formula1>
          <xm:sqref>C23</xm:sqref>
        </x14:dataValidation>
        <x14:dataValidation type="list" allowBlank="1" showErrorMessage="1" xr:uid="{00000000-0002-0000-0200-000012000000}">
          <x14:formula1>
            <xm:f>ConfigurationTS3L2!$A$50:$A$51</xm:f>
          </x14:formula1>
          <xm:sqref>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2:T154"/>
  <sheetViews>
    <sheetView topLeftCell="A42" workbookViewId="0">
      <selection activeCell="J52" sqref="J52"/>
    </sheetView>
  </sheetViews>
  <sheetFormatPr defaultRowHeight="15" x14ac:dyDescent="0.25"/>
  <cols>
    <col min="1" max="1" width="60.7109375" customWidth="1"/>
    <col min="2" max="2" width="35.5703125" customWidth="1"/>
    <col min="3" max="3" width="9.42578125" bestFit="1" customWidth="1"/>
    <col min="4" max="4" width="34.42578125" customWidth="1"/>
    <col min="5" max="5" width="14" bestFit="1" customWidth="1"/>
    <col min="6" max="6" width="12.42578125" customWidth="1"/>
    <col min="7" max="7" width="7.85546875" customWidth="1"/>
    <col min="8" max="8" width="14.85546875" bestFit="1" customWidth="1"/>
    <col min="9" max="9" width="31.85546875" customWidth="1"/>
    <col min="10" max="10" width="12.5703125" bestFit="1" customWidth="1"/>
    <col min="11" max="11" width="12.5703125" customWidth="1"/>
    <col min="12" max="12" width="9.42578125" customWidth="1"/>
    <col min="13" max="13" width="16.7109375" bestFit="1" customWidth="1"/>
  </cols>
  <sheetData>
    <row r="2" spans="1:15" x14ac:dyDescent="0.25"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/>
      <c r="L2" s="3" t="s">
        <v>18</v>
      </c>
      <c r="M2" s="3" t="s">
        <v>19</v>
      </c>
    </row>
    <row r="3" spans="1:15" x14ac:dyDescent="0.25">
      <c r="A3" s="2" t="s">
        <v>279</v>
      </c>
      <c r="D3" s="5" t="str">
        <f>VLOOKUP(L3,Tabella_prezzi!$A$3:$J$308,8,FALSE)</f>
        <v>PowerEdge T640 Server</v>
      </c>
      <c r="H3" s="5" t="str">
        <f>VLOOKUP(L3,Tabella_prezzi!$A$3:$J$308,9,FALSE)</f>
        <v>L1N02-ServerT640</v>
      </c>
      <c r="I3" s="5" t="str">
        <f>VLOOKUP(L3,Tabella_prezzi!$A$3:$J$308,3,FALSE)</f>
        <v>Server Tower bi-processore</v>
      </c>
      <c r="J3" s="5">
        <f>VLOOKUP(L3,Tabella_prezzi!$A$3:$J$308,4,FALSE)</f>
        <v>2088</v>
      </c>
      <c r="K3" s="5"/>
      <c r="L3" s="141" t="s">
        <v>276</v>
      </c>
      <c r="M3" s="4" t="str">
        <f>VLOOKUP(L3,Tabella_prezzi!$A$3:$J$308,6,FALSE)</f>
        <v>TS3L2-SRV</v>
      </c>
    </row>
    <row r="4" spans="1:15" x14ac:dyDescent="0.25">
      <c r="J4" s="6"/>
      <c r="K4" s="6"/>
    </row>
    <row r="5" spans="1:15" x14ac:dyDescent="0.25">
      <c r="A5" s="7" t="s">
        <v>531</v>
      </c>
      <c r="J5" s="6"/>
      <c r="K5" s="6"/>
    </row>
    <row r="6" spans="1:15" x14ac:dyDescent="0.25">
      <c r="A6" s="126" t="s">
        <v>370</v>
      </c>
      <c r="B6" s="8"/>
      <c r="C6" s="9"/>
      <c r="D6" s="4"/>
      <c r="E6" s="10"/>
      <c r="F6" s="4"/>
      <c r="G6" s="8" t="str">
        <f>""</f>
        <v/>
      </c>
      <c r="H6" s="11"/>
      <c r="I6" s="4" t="str">
        <f>""</f>
        <v/>
      </c>
      <c r="J6" s="5"/>
      <c r="K6" s="5"/>
      <c r="L6" s="4" t="str">
        <f>""</f>
        <v/>
      </c>
      <c r="M6" s="4" t="str">
        <f>""</f>
        <v/>
      </c>
    </row>
    <row r="7" spans="1:15" x14ac:dyDescent="0.25">
      <c r="A7" s="4" t="s">
        <v>555</v>
      </c>
      <c r="B7" s="150"/>
      <c r="C7" s="9"/>
      <c r="D7" s="5" t="str">
        <f>VLOOKUP(L7,Tabella_prezzi!$A$3:$J$308,8,FALSE)</f>
        <v>Kit composto da: Tower to Rack Conversion Kit; Rack Standard Bezel; 3U Cable Management Arm; Ready Rails 3U Sliding Rails</v>
      </c>
      <c r="E7" s="10"/>
      <c r="F7" s="142"/>
      <c r="G7" s="8">
        <v>1</v>
      </c>
      <c r="H7" s="5" t="str">
        <f>VLOOKUP(L7,Tabella_prezzi!$A$3:$J$308,9,FALSE)</f>
        <v>TS3-OpzA20T640K</v>
      </c>
      <c r="I7" s="5" t="str">
        <f>VLOOKUP(L7,Tabella_prezzi!$A$3:$J$308,3,FALSE)</f>
        <v>TS3-OpzA20RKit</v>
      </c>
      <c r="K7" s="5">
        <f>VLOOKUP(L7,Tabella_prezzi!$A$3:$J$308,4,FALSE)</f>
        <v>270</v>
      </c>
      <c r="L7" s="141" t="s">
        <v>341</v>
      </c>
      <c r="M7" s="4" t="str">
        <f>VLOOKUP(L7,Tabella_prezzi!$A$3:$J$308,6,FALSE)</f>
        <v>TS3L2-RACKKIT</v>
      </c>
      <c r="N7" s="12"/>
      <c r="O7" s="12"/>
    </row>
    <row r="8" spans="1:15" x14ac:dyDescent="0.25">
      <c r="J8" s="6"/>
      <c r="K8" s="6"/>
    </row>
    <row r="9" spans="1:15" x14ac:dyDescent="0.25">
      <c r="A9" s="7" t="s">
        <v>372</v>
      </c>
      <c r="J9" s="6"/>
      <c r="K9" s="6"/>
    </row>
    <row r="10" spans="1:15" x14ac:dyDescent="0.25">
      <c r="A10" s="4" t="s">
        <v>373</v>
      </c>
      <c r="B10" s="150"/>
      <c r="C10" s="9"/>
      <c r="D10" s="142"/>
      <c r="E10" s="10"/>
      <c r="F10" s="142"/>
      <c r="G10" s="8"/>
      <c r="H10" s="11"/>
      <c r="I10" s="4" t="str">
        <f>""</f>
        <v/>
      </c>
      <c r="J10" s="5"/>
      <c r="K10" s="5"/>
      <c r="L10" s="4" t="str">
        <f>""</f>
        <v/>
      </c>
      <c r="M10" s="4" t="str">
        <f>""</f>
        <v/>
      </c>
      <c r="N10" s="12"/>
      <c r="O10" s="12"/>
    </row>
    <row r="11" spans="1:15" x14ac:dyDescent="0.25">
      <c r="A11" s="4" t="s">
        <v>371</v>
      </c>
      <c r="B11" s="150"/>
      <c r="C11" s="9"/>
      <c r="D11" s="5" t="str">
        <f>VLOOKUP(L11,Tabella_prezzi!$A$3:$J$308,8,FALSE)</f>
        <v>Intel® Xeon® Silver 4214 Processor 2.20 GHz, 12C/24T</v>
      </c>
      <c r="E11" s="10"/>
      <c r="F11" s="142"/>
      <c r="G11" s="8">
        <v>1</v>
      </c>
      <c r="H11" s="5" t="str">
        <f>VLOOKUP(L11,Tabella_prezzi!$A$3:$J$308,9,FALSE)</f>
        <v>L2N02-OpzCPU</v>
      </c>
      <c r="I11" s="5" t="str">
        <f>VLOOKUP(L11,Tabella_prezzi!$A$3:$J$308,3,FALSE)</f>
        <v>Kit n. 1 Processore aggiuntivo</v>
      </c>
      <c r="J11" s="5">
        <f>VLOOKUP(L11,Tabella_prezzi!$A$3:$J$308,4,FALSE)</f>
        <v>590</v>
      </c>
      <c r="K11" s="5"/>
      <c r="L11" s="141" t="s">
        <v>280</v>
      </c>
      <c r="M11" s="4" t="str">
        <f>VLOOKUP(L11,Tabella_prezzi!$A$3:$J$308,6,FALSE)</f>
        <v>TS3L2-CPU</v>
      </c>
      <c r="N11" s="12"/>
      <c r="O11" s="12"/>
    </row>
    <row r="12" spans="1:15" x14ac:dyDescent="0.25">
      <c r="J12" s="6"/>
      <c r="K12" s="6"/>
    </row>
    <row r="13" spans="1:15" x14ac:dyDescent="0.25">
      <c r="A13" s="7" t="s">
        <v>385</v>
      </c>
      <c r="J13" s="6"/>
      <c r="K13" s="6"/>
    </row>
    <row r="14" spans="1:15" x14ac:dyDescent="0.25">
      <c r="A14" s="4" t="s">
        <v>24</v>
      </c>
      <c r="B14" s="150" t="s">
        <v>6</v>
      </c>
      <c r="C14" s="9"/>
      <c r="D14" s="5" t="str">
        <f>D15</f>
        <v>16GB 2Rx8 DDR4 RDIMM 3200MHz</v>
      </c>
      <c r="E14" s="10"/>
      <c r="F14" s="5" t="str">
        <f>F15</f>
        <v>370-AEQF</v>
      </c>
      <c r="G14" s="8">
        <v>0</v>
      </c>
      <c r="H14" s="5" t="str">
        <f>H15</f>
        <v>L2N03-OpzRAM16GB</v>
      </c>
      <c r="I14" s="4" t="str">
        <f>""</f>
        <v/>
      </c>
      <c r="J14" s="5"/>
      <c r="K14" s="5"/>
      <c r="L14" s="4" t="str">
        <f>""</f>
        <v/>
      </c>
      <c r="M14" s="4" t="str">
        <f>""</f>
        <v/>
      </c>
    </row>
    <row r="15" spans="1:15" x14ac:dyDescent="0.25">
      <c r="A15" s="4" t="s">
        <v>28</v>
      </c>
      <c r="B15" s="150" t="s">
        <v>6</v>
      </c>
      <c r="C15" s="9"/>
      <c r="D15" s="5" t="str">
        <f>VLOOKUP(L15,Tabella_prezzi!$A$3:$J$308,8,FALSE)</f>
        <v>16GB 2Rx8 DDR4 RDIMM 3200MHz</v>
      </c>
      <c r="E15" s="10"/>
      <c r="F15" s="142" t="s">
        <v>380</v>
      </c>
      <c r="G15" s="8">
        <v>1</v>
      </c>
      <c r="H15" s="5" t="str">
        <f>VLOOKUP(L15,Tabella_prezzi!$A$3:$J$308,9,FALSE)</f>
        <v>L2N03-OpzRAM16GB</v>
      </c>
      <c r="I15" s="5" t="str">
        <f>VLOOKUP(L15,Tabella_prezzi!$A$3:$J$308,3,FALSE)</f>
        <v>OpzRAM16GB</v>
      </c>
      <c r="J15" s="5">
        <f>VLOOKUP(L15,Tabella_prezzi!$A$3:$J$308,4,FALSE)*G15</f>
        <v>99</v>
      </c>
      <c r="K15" s="5"/>
      <c r="L15" s="4" t="s">
        <v>285</v>
      </c>
      <c r="M15" s="4" t="str">
        <f>VLOOKUP(L15,Tabella_prezzi!$A$3:$J$308,6,FALSE)</f>
        <v>TS3L2-RAM16</v>
      </c>
      <c r="N15" s="12"/>
      <c r="O15" s="12"/>
    </row>
    <row r="16" spans="1:15" x14ac:dyDescent="0.25">
      <c r="A16" s="4" t="s">
        <v>29</v>
      </c>
      <c r="B16" s="150" t="s">
        <v>6</v>
      </c>
      <c r="C16" s="9"/>
      <c r="D16" s="5" t="str">
        <f>VLOOKUP(L16,Tabella_prezzi!$A$3:$J$308,8,FALSE)</f>
        <v>16GB 2Rx8 DDR4 RDIMM 3200MHz</v>
      </c>
      <c r="E16" s="10"/>
      <c r="F16" s="142" t="s">
        <v>380</v>
      </c>
      <c r="G16" s="8">
        <v>2</v>
      </c>
      <c r="H16" s="5" t="str">
        <f>VLOOKUP(L16,Tabella_prezzi!$A$3:$J$308,9,FALSE)</f>
        <v>L2N03-OpzRAM16GB</v>
      </c>
      <c r="I16" s="5" t="str">
        <f>VLOOKUP(L16,Tabella_prezzi!$A$3:$J$308,3,FALSE)</f>
        <v>OpzRAM16GB</v>
      </c>
      <c r="J16" s="5">
        <f>VLOOKUP(L16,Tabella_prezzi!$A$3:$J$308,4,FALSE)*G16</f>
        <v>198</v>
      </c>
      <c r="K16" s="5"/>
      <c r="L16" s="4" t="s">
        <v>285</v>
      </c>
      <c r="M16" s="4" t="str">
        <f>VLOOKUP(L16,Tabella_prezzi!$A$3:$J$308,6,FALSE)</f>
        <v>TS3L2-RAM16</v>
      </c>
      <c r="N16" s="12"/>
      <c r="O16" s="12"/>
    </row>
    <row r="17" spans="1:15" x14ac:dyDescent="0.25">
      <c r="A17" s="4" t="s">
        <v>381</v>
      </c>
      <c r="B17" s="150" t="s">
        <v>6</v>
      </c>
      <c r="C17" s="9"/>
      <c r="D17" s="5" t="str">
        <f>VLOOKUP(L17,Tabella_prezzi!$A$3:$J$308,8,FALSE)</f>
        <v>16GB 2Rx8 DDR4 RDIMM 3200MHz</v>
      </c>
      <c r="E17" s="10"/>
      <c r="F17" s="142" t="s">
        <v>380</v>
      </c>
      <c r="G17" s="8">
        <v>4</v>
      </c>
      <c r="H17" s="5" t="str">
        <f>VLOOKUP(L17,Tabella_prezzi!$A$3:$J$308,9,FALSE)</f>
        <v>L2N03-OpzRAM16GB</v>
      </c>
      <c r="I17" s="5" t="str">
        <f>VLOOKUP(L17,Tabella_prezzi!$A$3:$J$308,3,FALSE)</f>
        <v>OpzRAM16GB</v>
      </c>
      <c r="J17" s="5">
        <f>VLOOKUP(L17,Tabella_prezzi!$A$3:$J$308,4,FALSE)*G17</f>
        <v>396</v>
      </c>
      <c r="K17" s="5"/>
      <c r="L17" s="4" t="s">
        <v>285</v>
      </c>
      <c r="M17" s="4" t="str">
        <f>VLOOKUP(L17,Tabella_prezzi!$A$3:$J$308,6,FALSE)</f>
        <v>TS3L2-RAM16</v>
      </c>
      <c r="N17" s="12"/>
      <c r="O17" s="12"/>
    </row>
    <row r="18" spans="1:15" x14ac:dyDescent="0.25">
      <c r="A18" s="4" t="s">
        <v>382</v>
      </c>
      <c r="B18" s="150" t="s">
        <v>6</v>
      </c>
      <c r="C18" s="9"/>
      <c r="D18" s="5" t="str">
        <f>VLOOKUP(L18,Tabella_prezzi!$A$3:$J$308,8,FALSE)</f>
        <v>16GB 2Rx8 DDR4 RDIMM 3200MHz</v>
      </c>
      <c r="E18" s="10"/>
      <c r="F18" s="142" t="s">
        <v>380</v>
      </c>
      <c r="G18" s="8">
        <v>6</v>
      </c>
      <c r="H18" s="5" t="str">
        <f>VLOOKUP(L18,Tabella_prezzi!$A$3:$J$308,9,FALSE)</f>
        <v>L2N03-OpzRAM16GB</v>
      </c>
      <c r="I18" s="5" t="str">
        <f>VLOOKUP(L18,Tabella_prezzi!$A$3:$J$308,3,FALSE)</f>
        <v>OpzRAM16GB</v>
      </c>
      <c r="J18" s="5">
        <f>VLOOKUP(L18,Tabella_prezzi!$A$3:$J$308,4,FALSE)*G18</f>
        <v>594</v>
      </c>
      <c r="K18" s="5"/>
      <c r="L18" s="4" t="s">
        <v>285</v>
      </c>
      <c r="M18" s="4" t="str">
        <f>VLOOKUP(L18,Tabella_prezzi!$A$3:$J$308,6,FALSE)</f>
        <v>TS3L2-RAM16</v>
      </c>
      <c r="N18" s="12"/>
      <c r="O18" s="12"/>
    </row>
    <row r="19" spans="1:15" x14ac:dyDescent="0.25">
      <c r="A19" s="4" t="s">
        <v>383</v>
      </c>
      <c r="B19" s="150" t="s">
        <v>6</v>
      </c>
      <c r="C19" s="9"/>
      <c r="D19" s="5" t="str">
        <f>VLOOKUP(L19,Tabella_prezzi!$A$3:$J$308,8,FALSE)</f>
        <v>16GB 2Rx8 DDR4 RDIMM 3200MHz</v>
      </c>
      <c r="E19" s="10"/>
      <c r="F19" s="142" t="s">
        <v>380</v>
      </c>
      <c r="G19" s="8">
        <v>8</v>
      </c>
      <c r="H19" s="5" t="str">
        <f>VLOOKUP(L19,Tabella_prezzi!$A$3:$J$308,9,FALSE)</f>
        <v>L2N03-OpzRAM16GB</v>
      </c>
      <c r="I19" s="5" t="str">
        <f>VLOOKUP(L19,Tabella_prezzi!$A$3:$J$308,3,FALSE)</f>
        <v>OpzRAM16GB</v>
      </c>
      <c r="J19" s="5">
        <f>VLOOKUP(L19,Tabella_prezzi!$A$3:$J$308,4,FALSE)*G19</f>
        <v>792</v>
      </c>
      <c r="K19" s="5"/>
      <c r="L19" s="4" t="s">
        <v>285</v>
      </c>
      <c r="M19" s="4" t="str">
        <f>VLOOKUP(L19,Tabella_prezzi!$A$3:$J$308,6,FALSE)</f>
        <v>TS3L2-RAM16</v>
      </c>
      <c r="N19" s="12"/>
      <c r="O19" s="12"/>
    </row>
    <row r="20" spans="1:15" x14ac:dyDescent="0.25">
      <c r="A20" s="4" t="s">
        <v>384</v>
      </c>
      <c r="B20" s="150" t="s">
        <v>6</v>
      </c>
      <c r="C20" s="9"/>
      <c r="D20" s="5" t="str">
        <f>VLOOKUP(L20,Tabella_prezzi!$A$3:$J$308,8,FALSE)</f>
        <v>16GB 2Rx8 DDR4 RDIMM 3200MHz</v>
      </c>
      <c r="E20" s="10"/>
      <c r="F20" s="142" t="s">
        <v>380</v>
      </c>
      <c r="G20" s="8">
        <v>10</v>
      </c>
      <c r="H20" s="5" t="str">
        <f>VLOOKUP(L20,Tabella_prezzi!$A$3:$J$308,9,FALSE)</f>
        <v>L2N03-OpzRAM16GB</v>
      </c>
      <c r="I20" s="5" t="str">
        <f>VLOOKUP(L20,Tabella_prezzi!$A$3:$J$308,3,FALSE)</f>
        <v>OpzRAM16GB</v>
      </c>
      <c r="J20" s="5">
        <f>VLOOKUP(L20,Tabella_prezzi!$A$3:$J$308,4,FALSE)*G20</f>
        <v>990</v>
      </c>
      <c r="K20" s="5"/>
      <c r="L20" s="4" t="s">
        <v>285</v>
      </c>
      <c r="M20" s="4" t="str">
        <f>VLOOKUP(L20,Tabella_prezzi!$A$3:$J$308,6,FALSE)</f>
        <v>TS3L2-RAM16</v>
      </c>
      <c r="N20" s="12"/>
      <c r="O20" s="12"/>
    </row>
    <row r="21" spans="1:15" x14ac:dyDescent="0.25">
      <c r="A21" s="12"/>
      <c r="B21" s="12"/>
      <c r="C21" s="12"/>
      <c r="D21" s="5"/>
      <c r="E21" s="12"/>
      <c r="F21" s="12"/>
      <c r="G21" s="12"/>
      <c r="H21" s="12"/>
      <c r="I21" s="12"/>
      <c r="J21" s="12"/>
      <c r="K21" s="12"/>
      <c r="L21" s="12"/>
      <c r="M21" s="12"/>
    </row>
    <row r="22" spans="1:15" x14ac:dyDescent="0.25">
      <c r="A22" s="7" t="s">
        <v>386</v>
      </c>
      <c r="J22" s="6"/>
      <c r="K22" s="6"/>
    </row>
    <row r="23" spans="1:15" x14ac:dyDescent="0.25">
      <c r="A23" s="4" t="s">
        <v>24</v>
      </c>
      <c r="B23" s="8" t="s">
        <v>6</v>
      </c>
      <c r="C23" s="9"/>
      <c r="D23" s="5" t="str">
        <f>D24</f>
        <v>16GB 2Rx8 DDR4 RDIMM 3200MHz</v>
      </c>
      <c r="E23" s="10"/>
      <c r="F23" s="5" t="str">
        <f>F24</f>
        <v>370-AEQF</v>
      </c>
      <c r="G23" s="8">
        <v>0</v>
      </c>
      <c r="H23" s="5" t="str">
        <f>H24</f>
        <v>L2N03-OpzRAM16GB</v>
      </c>
      <c r="I23" s="4" t="str">
        <f>""</f>
        <v/>
      </c>
      <c r="J23" s="5"/>
      <c r="K23" s="5"/>
      <c r="L23" s="4" t="str">
        <f>""</f>
        <v/>
      </c>
      <c r="M23" s="4" t="str">
        <f>""</f>
        <v/>
      </c>
      <c r="N23" s="12"/>
      <c r="O23" s="12"/>
    </row>
    <row r="24" spans="1:15" x14ac:dyDescent="0.25">
      <c r="A24" s="4" t="s">
        <v>28</v>
      </c>
      <c r="B24" s="8" t="s">
        <v>6</v>
      </c>
      <c r="C24" s="9"/>
      <c r="D24" s="5" t="str">
        <f>VLOOKUP(L24,Tabella_prezzi!$A$3:$J$308,8,FALSE)</f>
        <v>16GB 2Rx8 DDR4 RDIMM 3200MHz</v>
      </c>
      <c r="E24" s="10"/>
      <c r="F24" s="142" t="s">
        <v>380</v>
      </c>
      <c r="G24" s="8">
        <v>1</v>
      </c>
      <c r="H24" s="5" t="str">
        <f>VLOOKUP(L24,Tabella_prezzi!$A$3:$J$308,9,FALSE)</f>
        <v>L2N03-OpzRAM16GB</v>
      </c>
      <c r="I24" s="5" t="str">
        <f>VLOOKUP(L24,Tabella_prezzi!$A$3:$J$308,3,FALSE)</f>
        <v>OpzRAM16GB</v>
      </c>
      <c r="J24" s="5">
        <f>VLOOKUP(L24,Tabella_prezzi!$A$3:$J$308,4,FALSE)</f>
        <v>99</v>
      </c>
      <c r="K24" s="5"/>
      <c r="L24" s="4" t="s">
        <v>285</v>
      </c>
      <c r="M24" s="4" t="str">
        <f>VLOOKUP(L24,Tabella_prezzi!$A$3:$J$308,6,FALSE)</f>
        <v>TS3L2-RAM16</v>
      </c>
      <c r="N24" s="12"/>
      <c r="O24" s="12"/>
    </row>
    <row r="25" spans="1:15" x14ac:dyDescent="0.25">
      <c r="A25" s="4" t="s">
        <v>29</v>
      </c>
      <c r="B25" s="8" t="s">
        <v>6</v>
      </c>
      <c r="C25" s="9"/>
      <c r="D25" s="5" t="str">
        <f>VLOOKUP(L25,Tabella_prezzi!$A$3:$J$308,8,FALSE)</f>
        <v>16GB 2Rx8 DDR4 RDIMM 3200MHz</v>
      </c>
      <c r="E25" s="10"/>
      <c r="F25" s="142" t="s">
        <v>380</v>
      </c>
      <c r="G25" s="8">
        <v>2</v>
      </c>
      <c r="H25" s="5" t="str">
        <f>VLOOKUP(L25,Tabella_prezzi!$A$3:$J$308,9,FALSE)</f>
        <v>L2N03-OpzRAM16GB</v>
      </c>
      <c r="I25" s="5" t="str">
        <f>VLOOKUP(L25,Tabella_prezzi!$A$3:$J$308,3,FALSE)</f>
        <v>OpzRAM16GB</v>
      </c>
      <c r="J25" s="5">
        <f>VLOOKUP(L25,Tabella_prezzi!$A$3:$J$308,4,FALSE)*G25</f>
        <v>198</v>
      </c>
      <c r="K25" s="5"/>
      <c r="L25" s="4" t="s">
        <v>285</v>
      </c>
      <c r="M25" s="4" t="str">
        <f>VLOOKUP(L25,Tabella_prezzi!$A$3:$J$308,6,FALSE)</f>
        <v>TS3L2-RAM16</v>
      </c>
      <c r="N25" s="12"/>
      <c r="O25" s="12"/>
    </row>
    <row r="26" spans="1:15" x14ac:dyDescent="0.25">
      <c r="A26" s="4" t="s">
        <v>381</v>
      </c>
      <c r="B26" s="8" t="s">
        <v>6</v>
      </c>
      <c r="C26" s="9"/>
      <c r="D26" s="5" t="str">
        <f>VLOOKUP(L26,Tabella_prezzi!$A$3:$J$308,8,FALSE)</f>
        <v>16GB 2Rx8 DDR4 RDIMM 3200MHz</v>
      </c>
      <c r="E26" s="10"/>
      <c r="F26" s="142" t="s">
        <v>380</v>
      </c>
      <c r="G26" s="8">
        <v>4</v>
      </c>
      <c r="H26" s="5" t="str">
        <f>VLOOKUP(L26,Tabella_prezzi!$A$3:$J$308,9,FALSE)</f>
        <v>L2N03-OpzRAM16GB</v>
      </c>
      <c r="I26" s="5" t="str">
        <f>VLOOKUP(L26,Tabella_prezzi!$A$3:$J$308,3,FALSE)</f>
        <v>OpzRAM16GB</v>
      </c>
      <c r="J26" s="5">
        <f>VLOOKUP(L26,Tabella_prezzi!$A$3:$J$308,4,FALSE)*G26</f>
        <v>396</v>
      </c>
      <c r="K26" s="5"/>
      <c r="L26" s="4" t="s">
        <v>285</v>
      </c>
      <c r="M26" s="4" t="str">
        <f>VLOOKUP(L26,Tabella_prezzi!$A$3:$J$308,6,FALSE)</f>
        <v>TS3L2-RAM16</v>
      </c>
      <c r="N26" s="12"/>
      <c r="O26" s="12"/>
    </row>
    <row r="27" spans="1:15" x14ac:dyDescent="0.25">
      <c r="A27" s="4" t="s">
        <v>382</v>
      </c>
      <c r="B27" s="8" t="s">
        <v>6</v>
      </c>
      <c r="C27" s="9"/>
      <c r="D27" s="5" t="str">
        <f>VLOOKUP(L27,Tabella_prezzi!$A$3:$J$308,8,FALSE)</f>
        <v>16GB 2Rx8 DDR4 RDIMM 3200MHz</v>
      </c>
      <c r="E27" s="10"/>
      <c r="F27" s="142" t="s">
        <v>380</v>
      </c>
      <c r="G27" s="8">
        <v>6</v>
      </c>
      <c r="H27" s="5" t="str">
        <f>VLOOKUP(L27,Tabella_prezzi!$A$3:$J$308,9,FALSE)</f>
        <v>L2N03-OpzRAM16GB</v>
      </c>
      <c r="I27" s="5" t="str">
        <f>VLOOKUP(L27,Tabella_prezzi!$A$3:$J$308,3,FALSE)</f>
        <v>OpzRAM16GB</v>
      </c>
      <c r="J27" s="5">
        <f>VLOOKUP(L27,Tabella_prezzi!$A$3:$J$308,4,FALSE)*G27</f>
        <v>594</v>
      </c>
      <c r="K27" s="5"/>
      <c r="L27" s="4" t="s">
        <v>285</v>
      </c>
      <c r="M27" s="4" t="str">
        <f>VLOOKUP(L27,Tabella_prezzi!$A$3:$J$308,6,FALSE)</f>
        <v>TS3L2-RAM16</v>
      </c>
      <c r="N27" s="12"/>
      <c r="O27" s="12"/>
    </row>
    <row r="28" spans="1:15" x14ac:dyDescent="0.25">
      <c r="A28" s="4" t="s">
        <v>383</v>
      </c>
      <c r="B28" s="8" t="s">
        <v>6</v>
      </c>
      <c r="C28" s="9"/>
      <c r="D28" s="5" t="str">
        <f>VLOOKUP(L28,Tabella_prezzi!$A$3:$J$308,8,FALSE)</f>
        <v>16GB 2Rx8 DDR4 RDIMM 3200MHz</v>
      </c>
      <c r="E28" s="10"/>
      <c r="F28" s="142" t="s">
        <v>380</v>
      </c>
      <c r="G28" s="8">
        <v>8</v>
      </c>
      <c r="H28" s="5" t="str">
        <f>VLOOKUP(L28,Tabella_prezzi!$A$3:$J$308,9,FALSE)</f>
        <v>L2N03-OpzRAM16GB</v>
      </c>
      <c r="I28" s="5" t="str">
        <f>VLOOKUP(L28,Tabella_prezzi!$A$3:$J$308,3,FALSE)</f>
        <v>OpzRAM16GB</v>
      </c>
      <c r="J28" s="5">
        <f>VLOOKUP(L28,Tabella_prezzi!$A$3:$J$308,4,FALSE)*G28</f>
        <v>792</v>
      </c>
      <c r="K28" s="5"/>
      <c r="L28" s="4" t="s">
        <v>285</v>
      </c>
      <c r="M28" s="4" t="str">
        <f>VLOOKUP(L28,Tabella_prezzi!$A$3:$J$308,6,FALSE)</f>
        <v>TS3L2-RAM16</v>
      </c>
      <c r="N28" s="12"/>
      <c r="O28" s="12"/>
    </row>
    <row r="29" spans="1:15" x14ac:dyDescent="0.25">
      <c r="A29" s="4" t="s">
        <v>384</v>
      </c>
      <c r="B29" s="8" t="s">
        <v>6</v>
      </c>
      <c r="C29" s="9"/>
      <c r="D29" s="5" t="str">
        <f>VLOOKUP(L29,Tabella_prezzi!$A$3:$J$308,8,FALSE)</f>
        <v>16GB 2Rx8 DDR4 RDIMM 3200MHz</v>
      </c>
      <c r="E29" s="10"/>
      <c r="F29" s="142" t="s">
        <v>380</v>
      </c>
      <c r="G29" s="8">
        <v>10</v>
      </c>
      <c r="H29" s="5" t="str">
        <f>VLOOKUP(L29,Tabella_prezzi!$A$3:$J$308,9,FALSE)</f>
        <v>L2N03-OpzRAM16GB</v>
      </c>
      <c r="I29" s="5" t="str">
        <f>VLOOKUP(L29,Tabella_prezzi!$A$3:$J$308,3,FALSE)</f>
        <v>OpzRAM16GB</v>
      </c>
      <c r="J29" s="5">
        <f>VLOOKUP(L29,Tabella_prezzi!$A$3:$J$308,4,FALSE)*G29</f>
        <v>990</v>
      </c>
      <c r="K29" s="5"/>
      <c r="L29" s="4" t="s">
        <v>285</v>
      </c>
      <c r="M29" s="4" t="str">
        <f>VLOOKUP(L29,Tabella_prezzi!$A$3:$J$308,6,FALSE)</f>
        <v>TS3L2-RAM16</v>
      </c>
      <c r="N29" s="12"/>
      <c r="O29" s="12"/>
    </row>
    <row r="30" spans="1:15" x14ac:dyDescent="0.25">
      <c r="A30" s="4" t="s">
        <v>387</v>
      </c>
      <c r="B30" s="8" t="s">
        <v>6</v>
      </c>
      <c r="C30" s="9"/>
      <c r="D30" s="5" t="str">
        <f>VLOOKUP(L30,Tabella_prezzi!$A$3:$J$308,8,FALSE)</f>
        <v>16GB 2Rx8 DDR4 RDIMM 3200MHz</v>
      </c>
      <c r="E30" s="10"/>
      <c r="F30" s="142" t="s">
        <v>380</v>
      </c>
      <c r="G30" s="8">
        <v>12</v>
      </c>
      <c r="H30" s="5" t="str">
        <f>VLOOKUP(L30,Tabella_prezzi!$A$3:$J$308,9,FALSE)</f>
        <v>L2N03-OpzRAM16GB</v>
      </c>
      <c r="I30" s="5" t="str">
        <f>VLOOKUP(L30,Tabella_prezzi!$A$3:$J$308,3,FALSE)</f>
        <v>OpzRAM16GB</v>
      </c>
      <c r="J30" s="5">
        <f>VLOOKUP(L30,Tabella_prezzi!$A$3:$J$308,4,FALSE)*G30</f>
        <v>1188</v>
      </c>
      <c r="K30" s="5"/>
      <c r="L30" s="4" t="s">
        <v>285</v>
      </c>
      <c r="M30" s="4" t="str">
        <f>VLOOKUP(L30,Tabella_prezzi!$A$3:$J$308,6,FALSE)</f>
        <v>TS3L2-RAM16</v>
      </c>
      <c r="N30" s="12"/>
      <c r="O30" s="12"/>
    </row>
    <row r="31" spans="1:15" x14ac:dyDescent="0.25">
      <c r="A31" s="4" t="s">
        <v>388</v>
      </c>
      <c r="B31" s="8" t="s">
        <v>6</v>
      </c>
      <c r="C31" s="9"/>
      <c r="D31" s="5" t="str">
        <f>VLOOKUP(L31,Tabella_prezzi!$A$3:$J$308,8,FALSE)</f>
        <v>16GB 2Rx8 DDR4 RDIMM 3200MHz</v>
      </c>
      <c r="E31" s="10"/>
      <c r="F31" s="142" t="s">
        <v>380</v>
      </c>
      <c r="G31" s="8">
        <v>14</v>
      </c>
      <c r="H31" s="5" t="str">
        <f>VLOOKUP(L31,Tabella_prezzi!$A$3:$J$308,9,FALSE)</f>
        <v>L2N03-OpzRAM16GB</v>
      </c>
      <c r="I31" s="5" t="str">
        <f>VLOOKUP(L31,Tabella_prezzi!$A$3:$J$308,3,FALSE)</f>
        <v>OpzRAM16GB</v>
      </c>
      <c r="J31" s="5">
        <f>VLOOKUP(L31,Tabella_prezzi!$A$3:$J$308,4,FALSE)*G31</f>
        <v>1386</v>
      </c>
      <c r="K31" s="5"/>
      <c r="L31" s="4" t="s">
        <v>285</v>
      </c>
      <c r="M31" s="4" t="str">
        <f>VLOOKUP(L31,Tabella_prezzi!$A$3:$J$308,6,FALSE)</f>
        <v>TS3L2-RAM16</v>
      </c>
      <c r="N31" s="12"/>
      <c r="O31" s="12"/>
    </row>
    <row r="32" spans="1:15" x14ac:dyDescent="0.25">
      <c r="A32" s="4" t="s">
        <v>389</v>
      </c>
      <c r="B32" s="8" t="s">
        <v>6</v>
      </c>
      <c r="C32" s="9"/>
      <c r="D32" s="5" t="str">
        <f>VLOOKUP(L32,Tabella_prezzi!$A$3:$J$308,8,FALSE)</f>
        <v>16GB 2Rx8 DDR4 RDIMM 3200MHz</v>
      </c>
      <c r="E32" s="10"/>
      <c r="F32" s="142" t="s">
        <v>380</v>
      </c>
      <c r="G32" s="8">
        <v>18</v>
      </c>
      <c r="H32" s="5" t="str">
        <f>VLOOKUP(L32,Tabella_prezzi!$A$3:$J$308,9,FALSE)</f>
        <v>L2N03-OpzRAM16GB</v>
      </c>
      <c r="I32" s="5" t="str">
        <f>VLOOKUP(L32,Tabella_prezzi!$A$3:$J$308,3,FALSE)</f>
        <v>OpzRAM16GB</v>
      </c>
      <c r="J32" s="5">
        <f>VLOOKUP(L32,Tabella_prezzi!$A$3:$J$308,4,FALSE)*G32</f>
        <v>1782</v>
      </c>
      <c r="K32" s="5"/>
      <c r="L32" s="4" t="s">
        <v>285</v>
      </c>
      <c r="M32" s="4" t="str">
        <f>VLOOKUP(L32,Tabella_prezzi!$A$3:$J$308,6,FALSE)</f>
        <v>TS3L2-RAM16</v>
      </c>
      <c r="N32" s="12"/>
      <c r="O32" s="12"/>
    </row>
    <row r="33" spans="1:20" x14ac:dyDescent="0.25">
      <c r="A33" s="4" t="s">
        <v>390</v>
      </c>
      <c r="B33" s="8" t="s">
        <v>6</v>
      </c>
      <c r="C33" s="9"/>
      <c r="D33" s="5" t="str">
        <f>VLOOKUP(L33,Tabella_prezzi!$A$3:$J$308,8,FALSE)</f>
        <v>16GB 2Rx8 DDR4 RDIMM 3200MHz</v>
      </c>
      <c r="E33" s="10"/>
      <c r="F33" s="142" t="s">
        <v>380</v>
      </c>
      <c r="G33" s="8">
        <v>20</v>
      </c>
      <c r="H33" s="5" t="str">
        <f>VLOOKUP(L33,Tabella_prezzi!$A$3:$J$308,9,FALSE)</f>
        <v>L2N03-OpzRAM16GB</v>
      </c>
      <c r="I33" s="5" t="str">
        <f>VLOOKUP(L33,Tabella_prezzi!$A$3:$J$308,3,FALSE)</f>
        <v>OpzRAM16GB</v>
      </c>
      <c r="J33" s="5">
        <f>VLOOKUP(L33,Tabella_prezzi!$A$3:$J$308,4,FALSE)*G33</f>
        <v>1980</v>
      </c>
      <c r="K33" s="5"/>
      <c r="L33" s="4" t="s">
        <v>285</v>
      </c>
      <c r="M33" s="4" t="str">
        <f>VLOOKUP(L33,Tabella_prezzi!$A$3:$J$308,6,FALSE)</f>
        <v>TS3L2-RAM16</v>
      </c>
      <c r="N33" s="12"/>
      <c r="O33" s="12"/>
    </row>
    <row r="34" spans="1:20" x14ac:dyDescent="0.25">
      <c r="A34" s="4" t="s">
        <v>391</v>
      </c>
      <c r="B34" s="8" t="s">
        <v>6</v>
      </c>
      <c r="C34" s="9"/>
      <c r="D34" s="5" t="str">
        <f>VLOOKUP(L34,Tabella_prezzi!$A$3:$J$308,8,FALSE)</f>
        <v>16GB 2Rx8 DDR4 RDIMM 3200MHz</v>
      </c>
      <c r="E34" s="10"/>
      <c r="F34" s="142" t="s">
        <v>380</v>
      </c>
      <c r="G34" s="8">
        <v>22</v>
      </c>
      <c r="H34" s="5" t="str">
        <f>VLOOKUP(L34,Tabella_prezzi!$A$3:$J$308,9,FALSE)</f>
        <v>L2N03-OpzRAM16GB</v>
      </c>
      <c r="I34" s="5" t="str">
        <f>VLOOKUP(L34,Tabella_prezzi!$A$3:$J$308,3,FALSE)</f>
        <v>OpzRAM16GB</v>
      </c>
      <c r="J34" s="5">
        <f>VLOOKUP(L34,Tabella_prezzi!$A$3:$J$308,4,FALSE)*G34</f>
        <v>2178</v>
      </c>
      <c r="K34" s="5"/>
      <c r="L34" s="4" t="s">
        <v>285</v>
      </c>
      <c r="M34" s="4" t="str">
        <f>VLOOKUP(L34,Tabella_prezzi!$A$3:$J$308,6,FALSE)</f>
        <v>TS3L2-RAM16</v>
      </c>
      <c r="N34" s="12"/>
      <c r="O34" s="12"/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20" x14ac:dyDescent="0.25">
      <c r="A36" s="7" t="s">
        <v>375</v>
      </c>
    </row>
    <row r="37" spans="1:20" x14ac:dyDescent="0.25">
      <c r="A37" s="4" t="s">
        <v>30</v>
      </c>
      <c r="B37" s="8" t="s">
        <v>7</v>
      </c>
      <c r="C37" s="9"/>
      <c r="D37" s="4"/>
      <c r="E37" s="10"/>
      <c r="F37" s="4"/>
      <c r="G37" s="8" t="str">
        <f>""</f>
        <v/>
      </c>
      <c r="H37" s="11"/>
      <c r="I37" s="4" t="str">
        <f>""</f>
        <v/>
      </c>
      <c r="J37" s="5"/>
      <c r="K37" s="5"/>
      <c r="L37" s="4" t="str">
        <f>""</f>
        <v/>
      </c>
      <c r="M37" s="4" t="str">
        <f>""</f>
        <v/>
      </c>
      <c r="N37" s="8">
        <v>0</v>
      </c>
      <c r="O37" s="11"/>
      <c r="P37" s="4" t="str">
        <f>""</f>
        <v/>
      </c>
      <c r="Q37" s="4" t="str">
        <f>""</f>
        <v/>
      </c>
      <c r="R37" s="4" t="str">
        <f>""</f>
        <v/>
      </c>
      <c r="S37" s="4" t="str">
        <f>""</f>
        <v/>
      </c>
      <c r="T37" s="4" t="str">
        <f>""</f>
        <v/>
      </c>
    </row>
    <row r="38" spans="1:20" x14ac:dyDescent="0.25">
      <c r="A38" s="4" t="s">
        <v>392</v>
      </c>
      <c r="B38" s="8" t="s">
        <v>7</v>
      </c>
      <c r="C38" s="9"/>
      <c r="D38" s="5" t="str">
        <f>VLOOKUP(L38,Tabella_prezzi!$A$3:$J$308,8,FALSE)</f>
        <v>Windows Server 2019 Standard, ROK, 16CORE</v>
      </c>
      <c r="E38" s="10"/>
      <c r="F38" s="4"/>
      <c r="G38" s="8">
        <v>1</v>
      </c>
      <c r="H38" s="5" t="str">
        <f>VLOOKUP(L38,Tabella_prezzi!$A$3:$J$308,9,FALSE)</f>
        <v>L2N12-OpzWinServSTD</v>
      </c>
      <c r="I38" s="5" t="str">
        <f>VLOOKUP(L38,Tabella_prezzi!$A$3:$J$308,3,FALSE)</f>
        <v>OpzWinServSTD</v>
      </c>
      <c r="J38" s="5">
        <f>VLOOKUP(L38,Tabella_prezzi!$A$3:$J$308,4,FALSE)</f>
        <v>732</v>
      </c>
      <c r="K38" s="5"/>
      <c r="L38" s="141" t="s">
        <v>312</v>
      </c>
      <c r="M38" s="4" t="str">
        <f>VLOOKUP(L38,Tabella_prezzi!$A$3:$J$308,6,FALSE)</f>
        <v>TS3L2-WINSRVSTD</v>
      </c>
      <c r="N38" s="8">
        <v>4</v>
      </c>
      <c r="O38" s="5" t="str">
        <f>VLOOKUP(S38,Tabella_prezzi!$A$3:$J$308,9,FALSE)</f>
        <v>L2N13-OpzWinServSTD2core</v>
      </c>
      <c r="P38" s="5" t="str">
        <f>VLOOKUP(S38,Tabella_prezzi!$A$3:$J$308,3,FALSE)</f>
        <v>OpzWinServSTD2core</v>
      </c>
      <c r="Q38" s="5">
        <f>VLOOKUP(S38,Tabella_prezzi!$A$3:$J$308,4,FALSE)*N38</f>
        <v>376</v>
      </c>
      <c r="R38" s="5"/>
      <c r="S38" s="4" t="s">
        <v>317</v>
      </c>
      <c r="T38" s="4" t="str">
        <f>VLOOKUP(S38,Tabella_prezzi!$A$3:$J$308,6,FALSE)</f>
        <v>TS3L2-WINSRV2C</v>
      </c>
    </row>
    <row r="39" spans="1:20" x14ac:dyDescent="0.25">
      <c r="A39" s="4" t="s">
        <v>393</v>
      </c>
      <c r="B39" s="8" t="s">
        <v>7</v>
      </c>
      <c r="C39" s="9"/>
      <c r="D39" s="5" t="str">
        <f>VLOOKUP(L39,Tabella_prezzi!$A$3:$J$308,8,FALSE)</f>
        <v>Ubuntu 18.04 LTS 64 Bit</v>
      </c>
      <c r="E39" s="10"/>
      <c r="F39" s="4"/>
      <c r="G39" s="8">
        <v>1</v>
      </c>
      <c r="H39" s="5" t="str">
        <f>VLOOKUP(L39,Tabella_prezzi!$A$3:$J$308,9,FALSE)</f>
        <v>L2N16-OpzOpenSource</v>
      </c>
      <c r="I39" s="5" t="str">
        <f>VLOOKUP(L39,Tabella_prezzi!$A$3:$J$308,3,FALSE)</f>
        <v>OpzOpenSource</v>
      </c>
      <c r="J39" s="5">
        <f>VLOOKUP(L39,Tabella_prezzi!$A$3:$J$308,4,FALSE)</f>
        <v>49</v>
      </c>
      <c r="K39" s="5"/>
      <c r="L39" s="141" t="s">
        <v>332</v>
      </c>
      <c r="M39" s="4" t="str">
        <f>VLOOKUP(L39,Tabella_prezzi!$A$3:$J$308,6,FALSE)</f>
        <v>TS3L2-LINUX</v>
      </c>
      <c r="N39" s="8">
        <v>0</v>
      </c>
      <c r="O39" s="11"/>
      <c r="P39" s="4" t="str">
        <f>""</f>
        <v/>
      </c>
      <c r="Q39" s="4" t="str">
        <f>""</f>
        <v/>
      </c>
      <c r="R39" s="4" t="str">
        <f>""</f>
        <v/>
      </c>
      <c r="S39" s="4" t="str">
        <f>""</f>
        <v/>
      </c>
      <c r="T39" s="4" t="str">
        <f>""</f>
        <v/>
      </c>
    </row>
    <row r="41" spans="1:20" x14ac:dyDescent="0.25">
      <c r="A41" s="7" t="s">
        <v>376</v>
      </c>
    </row>
    <row r="42" spans="1:20" x14ac:dyDescent="0.25">
      <c r="A42" s="4" t="str">
        <f>""</f>
        <v/>
      </c>
      <c r="B42" s="8"/>
      <c r="C42" s="9"/>
      <c r="D42" s="4"/>
      <c r="E42" s="10"/>
      <c r="F42" s="4"/>
      <c r="G42" s="8" t="str">
        <f>""</f>
        <v/>
      </c>
      <c r="H42" s="11"/>
      <c r="I42" s="4" t="str">
        <f>""</f>
        <v/>
      </c>
      <c r="J42" s="5"/>
      <c r="K42" s="5"/>
      <c r="L42" s="4" t="str">
        <f>""</f>
        <v/>
      </c>
      <c r="M42" s="4" t="str">
        <f>""</f>
        <v/>
      </c>
    </row>
    <row r="43" spans="1:20" x14ac:dyDescent="0.25">
      <c r="A43" s="142" t="s">
        <v>620</v>
      </c>
      <c r="B43" s="8" t="s">
        <v>39</v>
      </c>
      <c r="C43" s="9"/>
      <c r="D43" s="5" t="str">
        <f>VLOOKUP(L43,Tabella_prezzi!$A$3:$J$308,8,FALSE)</f>
        <v>2.4TB 10K RPM SAS 12Gbps 512e 2.5in Hot-plug</v>
      </c>
      <c r="E43" s="10"/>
      <c r="F43" s="4"/>
      <c r="G43" s="8">
        <v>1</v>
      </c>
      <c r="H43" s="5" t="str">
        <f>VLOOKUP(L43,Tabella_prezzi!$A$3:$J$308,9,FALSE)</f>
        <v>L2N05-OpzHDD2TB</v>
      </c>
      <c r="I43" s="5" t="str">
        <f>VLOOKUP(L43,Tabella_prezzi!$A$3:$J$308,3,FALSE)</f>
        <v>OpzHDD2TB</v>
      </c>
      <c r="J43" s="5">
        <f>VLOOKUP(L43,Tabella_prezzi!$A$3:$J$308,4,FALSE)</f>
        <v>226</v>
      </c>
      <c r="K43" s="5"/>
      <c r="L43" s="141" t="s">
        <v>291</v>
      </c>
      <c r="M43" s="4" t="str">
        <f>VLOOKUP(L43,Tabella_prezzi!$A$3:$J$308,6,FALSE)</f>
        <v>TS3L2-HDD2TB</v>
      </c>
    </row>
    <row r="44" spans="1:20" x14ac:dyDescent="0.25">
      <c r="A44" s="142" t="s">
        <v>295</v>
      </c>
      <c r="B44" s="8" t="s">
        <v>39</v>
      </c>
      <c r="C44" s="9"/>
      <c r="D44" s="5" t="str">
        <f>VLOOKUP(L44,Tabella_prezzi!$A$3:$J$308,8,FALSE)</f>
        <v>1.2TB 10K RPM SAS 12Gbps 2.5in Hot-plug</v>
      </c>
      <c r="E44" s="10"/>
      <c r="F44" s="4"/>
      <c r="G44" s="8">
        <v>1</v>
      </c>
      <c r="H44" s="5" t="str">
        <f>VLOOKUP(L44,Tabella_prezzi!$A$3:$J$308,9,FALSE)</f>
        <v>L2N06-OpzHDD1TB</v>
      </c>
      <c r="I44" s="5" t="str">
        <f>VLOOKUP(L44,Tabella_prezzi!$A$3:$J$308,3,FALSE)</f>
        <v>OpzHDD1TB</v>
      </c>
      <c r="J44" s="5">
        <f>VLOOKUP(L44,Tabella_prezzi!$A$3:$J$308,4,FALSE)</f>
        <v>141</v>
      </c>
      <c r="K44" s="5"/>
      <c r="L44" s="141" t="s">
        <v>293</v>
      </c>
      <c r="M44" s="4" t="str">
        <f>VLOOKUP(L44,Tabella_prezzi!$A$3:$J$308,6,FALSE)</f>
        <v>TS3L2-HDD1TB</v>
      </c>
    </row>
    <row r="45" spans="1:20" x14ac:dyDescent="0.25">
      <c r="A45" s="142" t="s">
        <v>300</v>
      </c>
      <c r="B45" s="8" t="s">
        <v>39</v>
      </c>
      <c r="C45" s="9"/>
      <c r="D45" s="5" t="str">
        <f>VLOOKUP(L45,Tabella_prezzi!$A$3:$J$308,8,FALSE)</f>
        <v>300GB 15K RPM SAS 12Gbps 2.5in Hot-plug</v>
      </c>
      <c r="E45" s="10"/>
      <c r="F45" s="4"/>
      <c r="G45" s="8">
        <v>1</v>
      </c>
      <c r="H45" s="5" t="str">
        <f>VLOOKUP(L45,Tabella_prezzi!$A$3:$J$308,9,FALSE)</f>
        <v>L2N07-OpzHDD300GB</v>
      </c>
      <c r="I45" s="5" t="str">
        <f>VLOOKUP(L45,Tabella_prezzi!$A$3:$J$308,3,FALSE)</f>
        <v>OpzHDD300GB</v>
      </c>
      <c r="J45" s="5">
        <f>VLOOKUP(L45,Tabella_prezzi!$A$3:$J$308,4,FALSE)</f>
        <v>92</v>
      </c>
      <c r="K45" s="5"/>
      <c r="L45" s="141" t="s">
        <v>297</v>
      </c>
      <c r="M45" s="4" t="str">
        <f>VLOOKUP(L45,Tabella_prezzi!$A$3:$J$308,6,FALSE)</f>
        <v>TS3L2-HDD300GB</v>
      </c>
    </row>
    <row r="46" spans="1:20" x14ac:dyDescent="0.25">
      <c r="A46" s="142" t="s">
        <v>303</v>
      </c>
      <c r="B46" s="8" t="s">
        <v>39</v>
      </c>
      <c r="C46" s="9"/>
      <c r="D46" s="5" t="str">
        <f>VLOOKUP(L46,Tabella_prezzi!$A$3:$J$308,8,FALSE)</f>
        <v>960GB SSD SAS Read Intensive 12Gbps 2.5in Hot-plug</v>
      </c>
      <c r="E46" s="10"/>
      <c r="F46" s="4"/>
      <c r="G46" s="8">
        <v>1</v>
      </c>
      <c r="H46" s="5" t="str">
        <f>VLOOKUP(L46,Tabella_prezzi!$A$3:$J$308,9,FALSE)</f>
        <v>L2N08-OpzSSD-RI800GB</v>
      </c>
      <c r="I46" s="5" t="str">
        <f>VLOOKUP(L46,Tabella_prezzi!$A$3:$J$308,3,FALSE)</f>
        <v>OpzSSD-RI800GB</v>
      </c>
      <c r="J46" s="5">
        <f>VLOOKUP(L46,Tabella_prezzi!$A$3:$J$308,4,FALSE)</f>
        <v>727</v>
      </c>
      <c r="K46" s="5"/>
      <c r="L46" s="141" t="s">
        <v>302</v>
      </c>
      <c r="M46" s="4" t="str">
        <f>VLOOKUP(L46,Tabella_prezzi!$A$3:$J$308,6,FALSE)</f>
        <v>TS3L2-RI800GB</v>
      </c>
    </row>
    <row r="47" spans="1:20" x14ac:dyDescent="0.25">
      <c r="A47" s="142" t="s">
        <v>306</v>
      </c>
      <c r="B47" s="14" t="s">
        <v>39</v>
      </c>
      <c r="C47" s="15"/>
      <c r="D47" s="5" t="str">
        <f>VLOOKUP(L47,Tabella_prezzi!$A$3:$J$308,8,FALSE)</f>
        <v>480GB SSD SAS Read Intensive 12Gbps 2.5in Hot-plug</v>
      </c>
      <c r="E47" s="16"/>
      <c r="F47" s="13"/>
      <c r="G47" s="8">
        <v>1</v>
      </c>
      <c r="H47" s="5" t="str">
        <f>VLOOKUP(L47,Tabella_prezzi!$A$3:$J$308,9,FALSE)</f>
        <v>L2N09- OpzSSD-RI400GB</v>
      </c>
      <c r="I47" s="5" t="str">
        <f>VLOOKUP(L47,Tabella_prezzi!$A$3:$J$308,3,FALSE)</f>
        <v>OpzSSD-RI400GB</v>
      </c>
      <c r="J47" s="5">
        <f>VLOOKUP(L47,Tabella_prezzi!$A$3:$J$308,4,FALSE)</f>
        <v>394</v>
      </c>
      <c r="K47" s="5"/>
      <c r="L47" s="141" t="s">
        <v>305</v>
      </c>
      <c r="M47" s="4" t="str">
        <f>VLOOKUP(L47,Tabella_prezzi!$A$3:$J$308,6,FALSE)</f>
        <v>TS3L2-RI400GB</v>
      </c>
    </row>
    <row r="48" spans="1:20" s="228" customFormat="1" x14ac:dyDescent="0.25"/>
    <row r="49" spans="1:13" s="228" customFormat="1" x14ac:dyDescent="0.25">
      <c r="A49" s="7" t="s">
        <v>625</v>
      </c>
    </row>
    <row r="50" spans="1:13" s="228" customFormat="1" x14ac:dyDescent="0.25">
      <c r="A50" s="205" t="s">
        <v>397</v>
      </c>
      <c r="B50" s="8" t="s">
        <v>627</v>
      </c>
      <c r="C50" s="9"/>
      <c r="D50" s="4"/>
      <c r="E50" s="10"/>
      <c r="F50" s="4"/>
      <c r="G50" s="8" t="str">
        <f>""</f>
        <v/>
      </c>
      <c r="H50" s="11"/>
      <c r="I50" s="4" t="str">
        <f>""</f>
        <v/>
      </c>
      <c r="J50" s="5"/>
      <c r="K50" s="5"/>
      <c r="L50" s="4" t="str">
        <f>""</f>
        <v/>
      </c>
      <c r="M50" s="4" t="str">
        <f>""</f>
        <v/>
      </c>
    </row>
    <row r="51" spans="1:13" s="228" customFormat="1" x14ac:dyDescent="0.25">
      <c r="A51" s="205" t="s">
        <v>626</v>
      </c>
      <c r="B51" s="8" t="s">
        <v>627</v>
      </c>
      <c r="C51" s="15"/>
      <c r="D51" s="5" t="str">
        <f>VLOOKUP(L51,Tabella_prezzi!$A$3:$J$308,8,FALSE)</f>
        <v>Dell PERC H740P RAID Controller in sostituzione del Controller in configurazione BASE</v>
      </c>
      <c r="E51" s="16"/>
      <c r="F51" s="13"/>
      <c r="G51" s="8">
        <v>1</v>
      </c>
      <c r="H51" s="5" t="str">
        <f>VLOOKUP(L51,Tabella_prezzi!$A$3:$J$308,9,FALSE)</f>
        <v>TS3-OpzA20H740P</v>
      </c>
      <c r="I51" s="5">
        <f>VLOOKUP(L51,Tabella_prezzi!$A$3:$J$308,3,FALSE)</f>
        <v>0</v>
      </c>
      <c r="K51" s="5">
        <f>VLOOKUP(L51,Tabella_prezzi!$A$3:$J$308,4,FALSE)</f>
        <v>672</v>
      </c>
      <c r="L51" s="141" t="s">
        <v>349</v>
      </c>
      <c r="M51" s="4" t="str">
        <f>VLOOKUP(L51,Tabella_prezzi!$A$3:$J$308,6,FALSE)</f>
        <v>TS3L2-H740P</v>
      </c>
    </row>
    <row r="53" spans="1:13" x14ac:dyDescent="0.25">
      <c r="A53" s="7" t="s">
        <v>377</v>
      </c>
    </row>
    <row r="54" spans="1:13" x14ac:dyDescent="0.25">
      <c r="A54" s="4" t="s">
        <v>63</v>
      </c>
      <c r="B54" s="4" t="s">
        <v>8</v>
      </c>
      <c r="C54" s="9" t="s">
        <v>64</v>
      </c>
      <c r="D54" s="4" t="s">
        <v>63</v>
      </c>
      <c r="E54" s="10"/>
      <c r="F54" s="4" t="s">
        <v>65</v>
      </c>
      <c r="G54" s="8" t="str">
        <f>""</f>
        <v/>
      </c>
      <c r="H54" s="11"/>
      <c r="I54" s="4" t="str">
        <f>""</f>
        <v/>
      </c>
      <c r="J54" s="5"/>
      <c r="K54" s="5"/>
      <c r="L54" s="4" t="str">
        <f>""</f>
        <v/>
      </c>
      <c r="M54" s="4" t="str">
        <f>""</f>
        <v/>
      </c>
    </row>
    <row r="55" spans="1:13" x14ac:dyDescent="0.25">
      <c r="A55" s="28" t="s">
        <v>157</v>
      </c>
      <c r="B55" s="4"/>
      <c r="C55" s="9"/>
      <c r="D55" s="4"/>
      <c r="E55" s="10"/>
      <c r="F55" s="4"/>
      <c r="G55" s="8" t="str">
        <f>""</f>
        <v/>
      </c>
      <c r="H55" s="11"/>
      <c r="I55" s="4" t="str">
        <f>""</f>
        <v/>
      </c>
      <c r="J55" s="5"/>
      <c r="K55" s="5"/>
      <c r="L55" s="4" t="str">
        <f>""</f>
        <v/>
      </c>
      <c r="M55" s="4" t="str">
        <f>""</f>
        <v/>
      </c>
    </row>
    <row r="56" spans="1:13" x14ac:dyDescent="0.25">
      <c r="A56" s="17" t="s">
        <v>66</v>
      </c>
      <c r="B56" s="17" t="s">
        <v>8</v>
      </c>
      <c r="C56" s="18" t="s">
        <v>67</v>
      </c>
      <c r="D56" s="5" t="str">
        <f>VLOOKUP(L56,Tabella_prezzi!$A$3:$J$308,8,FALSE)</f>
        <v>Single, Hot-plug Power Supply (1+0), 495W,CusKit</v>
      </c>
      <c r="E56" s="19"/>
      <c r="F56" s="17" t="s">
        <v>68</v>
      </c>
      <c r="G56" s="17">
        <v>1</v>
      </c>
      <c r="H56" s="5">
        <f>VLOOKUP(L56,Tabella_prezzi!$A$3:$J$308,9,FALSE)</f>
        <v>0</v>
      </c>
      <c r="I56" s="5" t="str">
        <f>VLOOKUP(L56,Tabella_prezzi!$A$3:$J$308,3,FALSE)</f>
        <v>OpzPowerSupply</v>
      </c>
      <c r="J56" s="5"/>
      <c r="K56" s="20">
        <f>VLOOKUP(L56,Tabella_prezzi!$A$3:$J$308,4,FALSE)</f>
        <v>82</v>
      </c>
      <c r="L56" s="141" t="s">
        <v>71</v>
      </c>
      <c r="M56" s="4" t="str">
        <f>VLOOKUP(L56,Tabella_prezzi!$A$3:$J$308,6,FALSE)</f>
        <v>TS3L1-PSU</v>
      </c>
    </row>
    <row r="59" spans="1:13" x14ac:dyDescent="0.25">
      <c r="A59" s="7" t="s">
        <v>511</v>
      </c>
    </row>
    <row r="60" spans="1:13" x14ac:dyDescent="0.25">
      <c r="A60" s="4" t="str">
        <f>""</f>
        <v/>
      </c>
    </row>
    <row r="61" spans="1:13" x14ac:dyDescent="0.25">
      <c r="A61" t="s">
        <v>512</v>
      </c>
    </row>
    <row r="63" spans="1:13" x14ac:dyDescent="0.25">
      <c r="A63" s="7" t="s">
        <v>378</v>
      </c>
    </row>
    <row r="64" spans="1:13" x14ac:dyDescent="0.25">
      <c r="A64" s="4" t="str">
        <f>""</f>
        <v/>
      </c>
      <c r="B64" s="8"/>
      <c r="C64" s="9"/>
      <c r="D64" s="4"/>
      <c r="E64" s="10"/>
      <c r="F64" s="4"/>
      <c r="G64" s="8" t="str">
        <f>""</f>
        <v/>
      </c>
      <c r="H64" s="11"/>
      <c r="I64" s="4" t="str">
        <f>""</f>
        <v/>
      </c>
      <c r="J64" s="5"/>
      <c r="K64" s="5"/>
      <c r="L64" s="4" t="str">
        <f>""</f>
        <v/>
      </c>
      <c r="M64" s="4" t="str">
        <f>""</f>
        <v/>
      </c>
    </row>
    <row r="65" spans="1:13" x14ac:dyDescent="0.25">
      <c r="A65" s="4" t="s">
        <v>506</v>
      </c>
      <c r="B65" s="8" t="s">
        <v>73</v>
      </c>
      <c r="C65" s="9" t="s">
        <v>74</v>
      </c>
      <c r="D65" s="5" t="str">
        <f>VLOOKUP(L65,Tabella_prezzi!$A$3:$J$308,8,FALSE)</f>
        <v>Broadcom 5720 DP 1Gb NIC,Full Height</v>
      </c>
      <c r="E65" s="10"/>
      <c r="F65" s="4" t="s">
        <v>75</v>
      </c>
      <c r="G65" s="8">
        <v>1</v>
      </c>
      <c r="H65" s="5" t="str">
        <f>VLOOKUP(L65,Tabella_prezzi!$A$3:$J$308,9,FALSE)</f>
        <v>L2N04-OpzGigabit</v>
      </c>
      <c r="I65" s="5" t="str">
        <f>VLOOKUP(L65,Tabella_prezzi!$A$3:$J$308,3,FALSE)</f>
        <v>OpzGigabit</v>
      </c>
      <c r="J65" s="5">
        <f>VLOOKUP(L65,Tabella_prezzi!$A$3:$J$308,4,FALSE)</f>
        <v>26</v>
      </c>
      <c r="K65" s="5"/>
      <c r="L65" s="141" t="s">
        <v>289</v>
      </c>
      <c r="M65" s="4" t="str">
        <f>VLOOKUP(L65,Tabella_prezzi!$A$3:$J$308,6,FALSE)</f>
        <v>TS3L2-LAN1</v>
      </c>
    </row>
    <row r="66" spans="1:13" x14ac:dyDescent="0.25">
      <c r="A66" s="28" t="s">
        <v>157</v>
      </c>
      <c r="B66" s="4"/>
      <c r="C66" s="9"/>
      <c r="D66" s="4"/>
      <c r="E66" s="10"/>
      <c r="F66" s="4"/>
      <c r="G66" s="8" t="str">
        <f>""</f>
        <v/>
      </c>
      <c r="H66" s="11"/>
      <c r="I66" s="4" t="str">
        <f>""</f>
        <v/>
      </c>
      <c r="J66" s="5"/>
      <c r="K66" s="5"/>
      <c r="L66" s="4" t="str">
        <f>""</f>
        <v/>
      </c>
      <c r="M66" s="4" t="str">
        <f>""</f>
        <v/>
      </c>
    </row>
    <row r="67" spans="1:13" x14ac:dyDescent="0.25">
      <c r="A67" s="17" t="s">
        <v>529</v>
      </c>
      <c r="B67" s="17" t="s">
        <v>528</v>
      </c>
      <c r="C67" s="18"/>
      <c r="D67" s="5" t="str">
        <f>VLOOKUP(L67,Tabella_prezzi!$A$3:$J$308,8,FALSE)</f>
        <v>BOSS controller card, full height, with 2 240G M.2 Drives</v>
      </c>
      <c r="E67" s="19"/>
      <c r="F67" s="17"/>
      <c r="G67" s="17">
        <v>1</v>
      </c>
      <c r="H67" s="5"/>
      <c r="I67" s="5" t="str">
        <f>VLOOKUP(L67,Tabella_prezzi!$A$3:$J$308,3,FALSE)</f>
        <v>OpzBOSS240</v>
      </c>
      <c r="K67">
        <f>VLOOKUP(L67,Tabella_prezzi!$A$3:$J$308,4,FALSE)</f>
        <v>429</v>
      </c>
      <c r="L67" s="141" t="s">
        <v>339</v>
      </c>
      <c r="M67" s="4" t="str">
        <f>VLOOKUP(L67,Tabella_prezzi!$A$3:$J$308,6,FALSE)</f>
        <v>TS3L2-BOSS240</v>
      </c>
    </row>
    <row r="68" spans="1:13" x14ac:dyDescent="0.25">
      <c r="A68" s="17" t="s">
        <v>530</v>
      </c>
      <c r="B68" s="17" t="s">
        <v>528</v>
      </c>
      <c r="C68" s="18"/>
      <c r="D68" s="5" t="str">
        <f>VLOOKUP(L68,Tabella_prezzi!$A$3:$J$308,8,FALSE)</f>
        <v>BOSS controller card, full height, with 2 480G M.2 Drives</v>
      </c>
      <c r="E68" s="19"/>
      <c r="F68" s="17"/>
      <c r="G68" s="17">
        <v>1</v>
      </c>
      <c r="H68" s="5"/>
      <c r="I68" s="5" t="str">
        <f>VLOOKUP(L68,Tabella_prezzi!$A$3:$J$308,3,FALSE)</f>
        <v>OpzBOSS480</v>
      </c>
      <c r="K68">
        <f>VLOOKUP(L68,Tabella_prezzi!$A$3:$J$308,4,FALSE)</f>
        <v>748</v>
      </c>
      <c r="L68" s="141" t="s">
        <v>340</v>
      </c>
      <c r="M68" s="4" t="str">
        <f>VLOOKUP(L68,Tabella_prezzi!$A$3:$J$308,6,FALSE)</f>
        <v>TS3L2-BOSS480</v>
      </c>
    </row>
    <row r="69" spans="1:13" x14ac:dyDescent="0.25">
      <c r="A69" s="17" t="s">
        <v>509</v>
      </c>
      <c r="B69" s="17" t="s">
        <v>510</v>
      </c>
      <c r="C69" s="18"/>
      <c r="D69" s="5" t="str">
        <f>VLOOKUP(L69,Tabella_prezzi!$A$3:$J$308,8,FALSE)</f>
        <v>PERC H840 RAID Adapter for External MD14XX Only, 8GB NV Cache, Full Height</v>
      </c>
      <c r="E69" s="19"/>
      <c r="F69" s="17"/>
      <c r="G69" s="17">
        <v>1</v>
      </c>
      <c r="H69" s="5" t="str">
        <f>VLOOKUP(L69,Tabella_prezzi!$A$3:$J$308,9,FALSE)</f>
        <v>TS3-OpzA20H840</v>
      </c>
      <c r="I69" s="5" t="str">
        <f>VLOOKUP(L69,Tabella_prezzi!$A$3:$J$308,3,FALSE)</f>
        <v>OpzH840</v>
      </c>
      <c r="K69" s="5">
        <f>VLOOKUP(L69,Tabella_prezzi!$A$3:$J$308,4,FALSE)</f>
        <v>479</v>
      </c>
      <c r="L69" s="141" t="s">
        <v>346</v>
      </c>
      <c r="M69" s="4" t="str">
        <f>VLOOKUP(L69,Tabella_prezzi!$A$3:$J$308,6,FALSE)</f>
        <v>TS3L2-H840</v>
      </c>
    </row>
    <row r="70" spans="1:13" x14ac:dyDescent="0.25">
      <c r="A70" s="17" t="s">
        <v>602</v>
      </c>
      <c r="B70" s="17" t="s">
        <v>73</v>
      </c>
      <c r="C70" s="18"/>
      <c r="D70" s="5" t="str">
        <f>VLOOKUP(L70,Tabella_prezzi!$A$3:$J$308,8,FALSE)</f>
        <v>Scheda 41112 DP 10Gb SFP+, 2 x Transceiver SFP+, 10GbE</v>
      </c>
      <c r="E70" s="19"/>
      <c r="F70" s="17"/>
      <c r="G70" s="17">
        <v>1</v>
      </c>
      <c r="H70" s="5" t="str">
        <f>VLOOKUP(L70,Tabella_prezzi!$A$3:$J$308,9,FALSE)</f>
        <v>TS3-OpzA20CNA</v>
      </c>
      <c r="I70" s="5" t="str">
        <f>VLOOKUP(L70,Tabella_prezzi!$A$3:$J$308,3,FALSE)</f>
        <v>OpzCNA10Gb</v>
      </c>
      <c r="K70" s="5">
        <f>VLOOKUP(L70,Tabella_prezzi!$A$3:$J$308,4,FALSE)</f>
        <v>383</v>
      </c>
      <c r="L70" s="141" t="s">
        <v>342</v>
      </c>
      <c r="M70" s="4" t="str">
        <f>VLOOKUP(L70,Tabella_prezzi!$A$3:$J$308,6,FALSE)</f>
        <v>TS3L2-CNA10GB</v>
      </c>
    </row>
    <row r="71" spans="1:13" x14ac:dyDescent="0.25">
      <c r="A71" s="17" t="s">
        <v>603</v>
      </c>
      <c r="B71" s="17" t="s">
        <v>73</v>
      </c>
      <c r="C71" s="18" t="s">
        <v>601</v>
      </c>
      <c r="D71" s="5" t="str">
        <f>VLOOKUP(L71,Tabella_prezzi!$A$3:$J$308,8,FALSE)</f>
        <v>Scheda 41112 DP 10Gb SFP+, 2 x Cable, SFP+ to SFP+, 10GbE, Copper Twinax Direct Attach Cable, 3 Meter</v>
      </c>
      <c r="E71" s="19"/>
      <c r="F71" s="17"/>
      <c r="G71" s="17">
        <v>1</v>
      </c>
      <c r="H71" s="5" t="str">
        <f>VLOOKUP(L71,Tabella_prezzi!$A$3:$J$308,9,FALSE)</f>
        <v>TS3-OpzA20CNA3M</v>
      </c>
      <c r="I71" s="5" t="str">
        <f>VLOOKUP(L71,Tabella_prezzi!$A$3:$J$308,3,FALSE)</f>
        <v>OpzCNA10Gb</v>
      </c>
      <c r="K71" s="5">
        <f>VLOOKUP(L71,Tabella_prezzi!$A$3:$J$308,4,FALSE)</f>
        <v>411</v>
      </c>
      <c r="L71" s="141" t="s">
        <v>348</v>
      </c>
      <c r="M71" s="4" t="str">
        <f>VLOOKUP(L71,Tabella_prezzi!$A$3:$J$308,6,FALSE)</f>
        <v>TS3L2-CNA10M3</v>
      </c>
    </row>
    <row r="73" spans="1:13" x14ac:dyDescent="0.25">
      <c r="A73" s="7" t="s">
        <v>379</v>
      </c>
    </row>
    <row r="74" spans="1:13" x14ac:dyDescent="0.25">
      <c r="A74" s="4" t="str">
        <f>""</f>
        <v/>
      </c>
      <c r="B74" s="8"/>
      <c r="C74" s="9"/>
      <c r="D74" s="4"/>
      <c r="E74" s="10"/>
      <c r="F74" s="4"/>
      <c r="G74" s="8" t="str">
        <f>""</f>
        <v/>
      </c>
      <c r="H74" s="11"/>
      <c r="I74" s="4" t="str">
        <f>""</f>
        <v/>
      </c>
      <c r="J74" s="5"/>
      <c r="K74" s="5"/>
      <c r="L74" s="4" t="str">
        <f>""</f>
        <v/>
      </c>
      <c r="M74" s="4" t="str">
        <f>""</f>
        <v/>
      </c>
    </row>
    <row r="75" spans="1:13" x14ac:dyDescent="0.25">
      <c r="A75" s="4" t="s">
        <v>506</v>
      </c>
      <c r="B75" s="8" t="s">
        <v>73</v>
      </c>
      <c r="C75" s="9" t="s">
        <v>74</v>
      </c>
      <c r="D75" s="5" t="str">
        <f>VLOOKUP(L75,Tabella_prezzi!$A$3:$J$308,8,FALSE)</f>
        <v>Broadcom 5720 DP 1Gb NIC,Full Height</v>
      </c>
      <c r="E75" s="10"/>
      <c r="F75" s="4" t="s">
        <v>75</v>
      </c>
      <c r="G75" s="8">
        <v>1</v>
      </c>
      <c r="H75" s="5" t="str">
        <f>VLOOKUP(L75,Tabella_prezzi!$A$3:$J$308,9,FALSE)</f>
        <v>L2N04-OpzGigabit</v>
      </c>
      <c r="I75" s="5" t="str">
        <f>VLOOKUP(L75,Tabella_prezzi!$A$3:$J$308,3,FALSE)</f>
        <v>OpzGigabit</v>
      </c>
      <c r="J75" s="5">
        <f>VLOOKUP(L75,Tabella_prezzi!$A$3:$J$308,4,FALSE)</f>
        <v>26</v>
      </c>
      <c r="K75" s="5"/>
      <c r="L75" s="141" t="s">
        <v>289</v>
      </c>
      <c r="M75" s="4" t="str">
        <f>VLOOKUP(L75,Tabella_prezzi!$A$3:$J$308,6,FALSE)</f>
        <v>TS3L2-LAN1</v>
      </c>
    </row>
    <row r="77" spans="1:13" x14ac:dyDescent="0.25">
      <c r="A77" s="7" t="s">
        <v>527</v>
      </c>
    </row>
    <row r="78" spans="1:13" x14ac:dyDescent="0.25">
      <c r="A78" s="4" t="str">
        <f>""</f>
        <v/>
      </c>
      <c r="B78" s="8"/>
      <c r="C78" s="9"/>
      <c r="D78" s="4"/>
      <c r="E78" s="10"/>
      <c r="F78" s="4"/>
      <c r="G78" s="8" t="str">
        <f>""</f>
        <v/>
      </c>
      <c r="H78" s="11"/>
      <c r="I78" s="4" t="str">
        <f>""</f>
        <v/>
      </c>
      <c r="J78" s="5"/>
      <c r="K78" s="5"/>
      <c r="L78" s="4" t="str">
        <f>""</f>
        <v/>
      </c>
      <c r="M78" s="4" t="str">
        <f>""</f>
        <v/>
      </c>
    </row>
    <row r="79" spans="1:13" x14ac:dyDescent="0.25">
      <c r="A79" s="4" t="s">
        <v>506</v>
      </c>
      <c r="B79" s="8" t="s">
        <v>73</v>
      </c>
      <c r="C79" s="9" t="s">
        <v>74</v>
      </c>
      <c r="D79" s="5" t="str">
        <f>VLOOKUP(L79,Tabella_prezzi!$A$3:$J$308,8,FALSE)</f>
        <v>Broadcom 5720 DP 1Gb NIC,Full Height</v>
      </c>
      <c r="E79" s="10"/>
      <c r="F79" s="4" t="s">
        <v>75</v>
      </c>
      <c r="G79" s="8">
        <v>1</v>
      </c>
      <c r="H79" s="5" t="str">
        <f>VLOOKUP(L79,Tabella_prezzi!$A$3:$J$308,9,FALSE)</f>
        <v>L2N04-OpzGigabit</v>
      </c>
      <c r="I79" s="5" t="str">
        <f>VLOOKUP(L79,Tabella_prezzi!$A$3:$J$308,3,FALSE)</f>
        <v>OpzGigabit</v>
      </c>
      <c r="J79" s="5">
        <f>VLOOKUP(L79,Tabella_prezzi!$A$3:$J$308,4,FALSE)</f>
        <v>26</v>
      </c>
      <c r="K79" s="5"/>
      <c r="L79" s="141" t="s">
        <v>289</v>
      </c>
      <c r="M79" s="4" t="str">
        <f>VLOOKUP(L79,Tabella_prezzi!$A$3:$J$308,6,FALSE)</f>
        <v>TS3L2-LAN1</v>
      </c>
    </row>
    <row r="81" spans="1:13" x14ac:dyDescent="0.25">
      <c r="A81" s="7" t="s">
        <v>526</v>
      </c>
    </row>
    <row r="82" spans="1:13" x14ac:dyDescent="0.25">
      <c r="A82" s="4" t="str">
        <f>""</f>
        <v/>
      </c>
      <c r="B82" s="8"/>
      <c r="C82" s="9"/>
      <c r="D82" s="4"/>
      <c r="E82" s="10"/>
      <c r="F82" s="4"/>
      <c r="G82" s="8" t="str">
        <f>""</f>
        <v/>
      </c>
      <c r="H82" s="11"/>
      <c r="I82" s="4" t="str">
        <f>""</f>
        <v/>
      </c>
      <c r="J82" s="5"/>
      <c r="K82" s="5"/>
      <c r="L82" s="4" t="str">
        <f>""</f>
        <v/>
      </c>
      <c r="M82" s="4" t="str">
        <f>""</f>
        <v/>
      </c>
    </row>
    <row r="83" spans="1:13" x14ac:dyDescent="0.25">
      <c r="A83" s="4" t="s">
        <v>506</v>
      </c>
      <c r="B83" s="8" t="s">
        <v>73</v>
      </c>
      <c r="C83" s="9" t="s">
        <v>74</v>
      </c>
      <c r="D83" s="5" t="str">
        <f>VLOOKUP(L83,Tabella_prezzi!$A$3:$J$308,8,FALSE)</f>
        <v>Broadcom 5720 DP 1Gb NIC,Full Height</v>
      </c>
      <c r="E83" s="10"/>
      <c r="F83" s="4" t="s">
        <v>75</v>
      </c>
      <c r="G83" s="8">
        <v>1</v>
      </c>
      <c r="H83" s="5" t="str">
        <f>VLOOKUP(L83,Tabella_prezzi!$A$3:$J$308,9,FALSE)</f>
        <v>L2N04-OpzGigabit</v>
      </c>
      <c r="I83" s="5" t="str">
        <f>VLOOKUP(L83,Tabella_prezzi!$A$3:$J$308,3,FALSE)</f>
        <v>OpzGigabit</v>
      </c>
      <c r="J83" s="5">
        <f>VLOOKUP(L83,Tabella_prezzi!$A$3:$J$308,4,FALSE)</f>
        <v>26</v>
      </c>
      <c r="K83" s="5"/>
      <c r="L83" s="141" t="s">
        <v>289</v>
      </c>
      <c r="M83" s="4" t="str">
        <f>VLOOKUP(L83,Tabella_prezzi!$A$3:$J$308,6,FALSE)</f>
        <v>TS3L2-LAN1</v>
      </c>
    </row>
    <row r="84" spans="1:13" x14ac:dyDescent="0.25">
      <c r="A84" s="28" t="s">
        <v>157</v>
      </c>
      <c r="B84" s="4"/>
      <c r="C84" s="9"/>
      <c r="D84" s="4"/>
      <c r="E84" s="10"/>
      <c r="F84" s="4"/>
      <c r="G84" s="8" t="str">
        <f>""</f>
        <v/>
      </c>
      <c r="H84" s="11"/>
      <c r="I84" s="4" t="str">
        <f>""</f>
        <v/>
      </c>
      <c r="J84" s="5"/>
      <c r="K84" s="5"/>
      <c r="L84" s="4" t="str">
        <f>""</f>
        <v/>
      </c>
      <c r="M84" s="4" t="str">
        <f>""</f>
        <v/>
      </c>
    </row>
    <row r="85" spans="1:13" x14ac:dyDescent="0.25">
      <c r="A85" s="17" t="s">
        <v>529</v>
      </c>
      <c r="B85" s="17" t="s">
        <v>528</v>
      </c>
      <c r="C85" s="18"/>
      <c r="D85" s="5" t="str">
        <f>VLOOKUP(L85,Tabella_prezzi!$A$3:$J$308,8,FALSE)</f>
        <v>BOSS controller card, full height, with 2 240G M.2 Drives</v>
      </c>
      <c r="E85" s="19"/>
      <c r="F85" s="17"/>
      <c r="G85" s="17">
        <v>1</v>
      </c>
      <c r="H85" s="5"/>
      <c r="I85" s="5" t="str">
        <f>VLOOKUP(L85,Tabella_prezzi!$A$3:$J$308,3,FALSE)</f>
        <v>OpzBOSS240</v>
      </c>
      <c r="K85">
        <f>VLOOKUP(L85,Tabella_prezzi!$A$3:$J$308,4,FALSE)</f>
        <v>429</v>
      </c>
      <c r="L85" s="141" t="s">
        <v>339</v>
      </c>
      <c r="M85" s="4" t="str">
        <f>VLOOKUP(L85,Tabella_prezzi!$A$3:$J$308,6,FALSE)</f>
        <v>TS3L2-BOSS240</v>
      </c>
    </row>
    <row r="86" spans="1:13" x14ac:dyDescent="0.25">
      <c r="A86" s="17" t="s">
        <v>530</v>
      </c>
      <c r="B86" s="17" t="s">
        <v>528</v>
      </c>
      <c r="C86" s="18"/>
      <c r="D86" s="5" t="str">
        <f>VLOOKUP(L86,Tabella_prezzi!$A$3:$J$308,8,FALSE)</f>
        <v>BOSS controller card, full height, with 2 480G M.2 Drives</v>
      </c>
      <c r="E86" s="19"/>
      <c r="F86" s="17"/>
      <c r="G86" s="17">
        <v>1</v>
      </c>
      <c r="H86" s="5"/>
      <c r="I86" s="5" t="str">
        <f>VLOOKUP(L86,Tabella_prezzi!$A$3:$J$308,3,FALSE)</f>
        <v>OpzBOSS480</v>
      </c>
      <c r="K86">
        <f>VLOOKUP(L86,Tabella_prezzi!$A$3:$J$308,4,FALSE)</f>
        <v>748</v>
      </c>
      <c r="L86" s="141" t="s">
        <v>340</v>
      </c>
      <c r="M86" s="4" t="str">
        <f>VLOOKUP(L86,Tabella_prezzi!$A$3:$J$308,6,FALSE)</f>
        <v>TS3L2-BOSS480</v>
      </c>
    </row>
    <row r="87" spans="1:13" x14ac:dyDescent="0.25">
      <c r="A87" s="17" t="s">
        <v>509</v>
      </c>
      <c r="B87" s="17" t="s">
        <v>510</v>
      </c>
      <c r="C87" s="18"/>
      <c r="D87" s="5" t="str">
        <f>VLOOKUP(L87,Tabella_prezzi!$A$3:$J$308,8,FALSE)</f>
        <v>PERC H840 RAID Adapter for External MD14XX Only, 8GB NV Cache, Full Height</v>
      </c>
      <c r="E87" s="19"/>
      <c r="F87" s="17"/>
      <c r="G87" s="17">
        <v>1</v>
      </c>
      <c r="H87" s="5" t="str">
        <f>VLOOKUP(L87,Tabella_prezzi!$A$3:$J$308,9,FALSE)</f>
        <v>TS3-OpzA20H840</v>
      </c>
      <c r="I87" s="5" t="str">
        <f>VLOOKUP(L87,Tabella_prezzi!$A$3:$J$308,3,FALSE)</f>
        <v>OpzH840</v>
      </c>
      <c r="K87" s="5">
        <f>VLOOKUP(L87,Tabella_prezzi!$A$3:$J$308,4,FALSE)</f>
        <v>479</v>
      </c>
      <c r="L87" s="141" t="s">
        <v>346</v>
      </c>
      <c r="M87" s="4" t="str">
        <f>VLOOKUP(L87,Tabella_prezzi!$A$3:$J$308,6,FALSE)</f>
        <v>TS3L2-H840</v>
      </c>
    </row>
    <row r="88" spans="1:13" x14ac:dyDescent="0.25">
      <c r="A88" s="17" t="s">
        <v>602</v>
      </c>
      <c r="B88" s="17" t="s">
        <v>73</v>
      </c>
      <c r="C88" s="18"/>
      <c r="D88" s="5" t="str">
        <f>VLOOKUP(L88,Tabella_prezzi!$A$3:$J$308,8,FALSE)</f>
        <v>Scheda 41112 DP 10Gb SFP+, 2 x Transceiver SFP+, 10GbE</v>
      </c>
      <c r="E88" s="19"/>
      <c r="F88" s="17"/>
      <c r="G88" s="17">
        <v>1</v>
      </c>
      <c r="H88" s="5" t="str">
        <f>VLOOKUP(L88,Tabella_prezzi!$A$3:$J$308,9,FALSE)</f>
        <v>TS3-OpzA20CNA</v>
      </c>
      <c r="I88" s="5" t="str">
        <f>VLOOKUP(L88,Tabella_prezzi!$A$3:$J$308,3,FALSE)</f>
        <v>OpzCNA10Gb</v>
      </c>
      <c r="K88" s="5">
        <f>VLOOKUP(L88,Tabella_prezzi!$A$3:$J$308,4,FALSE)</f>
        <v>383</v>
      </c>
      <c r="L88" s="141" t="s">
        <v>342</v>
      </c>
      <c r="M88" s="4" t="str">
        <f>VLOOKUP(L88,Tabella_prezzi!$A$3:$J$308,6,FALSE)</f>
        <v>TS3L2-CNA10GB</v>
      </c>
    </row>
    <row r="89" spans="1:13" x14ac:dyDescent="0.25">
      <c r="A89" s="17" t="s">
        <v>603</v>
      </c>
      <c r="B89" s="17" t="s">
        <v>73</v>
      </c>
      <c r="C89" s="18" t="s">
        <v>601</v>
      </c>
      <c r="D89" s="5" t="str">
        <f>VLOOKUP(L89,Tabella_prezzi!$A$3:$J$308,8,FALSE)</f>
        <v>Scheda 41112 DP 10Gb SFP+, 2 x Cable, SFP+ to SFP+, 10GbE, Copper Twinax Direct Attach Cable, 3 Meter</v>
      </c>
      <c r="E89" s="19"/>
      <c r="F89" s="17"/>
      <c r="G89" s="17">
        <v>1</v>
      </c>
      <c r="H89" s="5" t="str">
        <f>VLOOKUP(L89,Tabella_prezzi!$A$3:$J$308,9,FALSE)</f>
        <v>TS3-OpzA20CNA3M</v>
      </c>
      <c r="I89" s="5" t="str">
        <f>VLOOKUP(L89,Tabella_prezzi!$A$3:$J$308,3,FALSE)</f>
        <v>OpzCNA10Gb</v>
      </c>
      <c r="K89" s="5">
        <f>VLOOKUP(L89,Tabella_prezzi!$A$3:$J$308,4,FALSE)</f>
        <v>411</v>
      </c>
      <c r="L89" s="141" t="s">
        <v>348</v>
      </c>
      <c r="M89" s="4" t="str">
        <f>VLOOKUP(L89,Tabella_prezzi!$A$3:$J$308,6,FALSE)</f>
        <v>TS3L2-CNA10M3</v>
      </c>
    </row>
    <row r="91" spans="1:13" x14ac:dyDescent="0.25">
      <c r="A91" s="7" t="s">
        <v>525</v>
      </c>
    </row>
    <row r="92" spans="1:13" x14ac:dyDescent="0.25">
      <c r="A92" s="4" t="str">
        <f>""</f>
        <v/>
      </c>
      <c r="B92" s="8"/>
      <c r="C92" s="9"/>
      <c r="D92" s="4"/>
      <c r="E92" s="10"/>
      <c r="F92" s="4"/>
      <c r="G92" s="8" t="str">
        <f>""</f>
        <v/>
      </c>
      <c r="H92" s="11"/>
      <c r="I92" s="4" t="str">
        <f>""</f>
        <v/>
      </c>
      <c r="J92" s="5"/>
      <c r="K92" s="5"/>
      <c r="L92" s="4" t="str">
        <f>""</f>
        <v/>
      </c>
      <c r="M92" s="4" t="str">
        <f>""</f>
        <v/>
      </c>
    </row>
    <row r="93" spans="1:13" x14ac:dyDescent="0.25">
      <c r="A93" s="4" t="s">
        <v>506</v>
      </c>
      <c r="B93" s="8" t="s">
        <v>73</v>
      </c>
      <c r="C93" s="9" t="s">
        <v>74</v>
      </c>
      <c r="D93" s="5" t="str">
        <f>VLOOKUP(L93,Tabella_prezzi!$A$3:$J$308,8,FALSE)</f>
        <v>Broadcom 5720 DP 1Gb NIC,Full Height</v>
      </c>
      <c r="E93" s="10"/>
      <c r="F93" s="4" t="s">
        <v>75</v>
      </c>
      <c r="G93" s="8">
        <v>1</v>
      </c>
      <c r="H93" s="5" t="str">
        <f>VLOOKUP(L93,Tabella_prezzi!$A$3:$J$308,9,FALSE)</f>
        <v>L2N04-OpzGigabit</v>
      </c>
      <c r="I93" s="5" t="str">
        <f>VLOOKUP(L93,Tabella_prezzi!$A$3:$J$308,3,FALSE)</f>
        <v>OpzGigabit</v>
      </c>
      <c r="J93" s="5">
        <f>VLOOKUP(L93,Tabella_prezzi!$A$3:$J$308,4,FALSE)</f>
        <v>26</v>
      </c>
      <c r="K93" s="5"/>
      <c r="L93" s="141" t="s">
        <v>289</v>
      </c>
      <c r="M93" s="4" t="str">
        <f>VLOOKUP(L93,Tabella_prezzi!$A$3:$J$308,6,FALSE)</f>
        <v>TS3L2-LAN1</v>
      </c>
    </row>
    <row r="95" spans="1:13" x14ac:dyDescent="0.25">
      <c r="A95" s="7" t="s">
        <v>524</v>
      </c>
    </row>
    <row r="96" spans="1:13" x14ac:dyDescent="0.25">
      <c r="A96" s="4" t="str">
        <f>""</f>
        <v/>
      </c>
      <c r="B96" s="8"/>
      <c r="C96" s="9"/>
      <c r="D96" s="4"/>
      <c r="E96" s="10"/>
      <c r="F96" s="4"/>
      <c r="G96" s="8" t="str">
        <f>""</f>
        <v/>
      </c>
      <c r="H96" s="11"/>
      <c r="I96" s="4" t="str">
        <f>""</f>
        <v/>
      </c>
      <c r="J96" s="5"/>
      <c r="K96" s="5"/>
      <c r="L96" s="4" t="str">
        <f>""</f>
        <v/>
      </c>
      <c r="M96" s="4" t="str">
        <f>""</f>
        <v/>
      </c>
    </row>
    <row r="97" spans="1:13" x14ac:dyDescent="0.25">
      <c r="A97" s="4" t="s">
        <v>506</v>
      </c>
      <c r="B97" s="8" t="s">
        <v>73</v>
      </c>
      <c r="C97" s="9" t="s">
        <v>74</v>
      </c>
      <c r="D97" s="5" t="str">
        <f>VLOOKUP(L97,Tabella_prezzi!$A$3:$J$308,8,FALSE)</f>
        <v>Broadcom 5720 DP 1Gb NIC,Full Height</v>
      </c>
      <c r="E97" s="10"/>
      <c r="F97" s="4" t="s">
        <v>75</v>
      </c>
      <c r="G97" s="8">
        <v>1</v>
      </c>
      <c r="H97" s="5" t="str">
        <f>VLOOKUP(L97,Tabella_prezzi!$A$3:$J$308,9,FALSE)</f>
        <v>L2N04-OpzGigabit</v>
      </c>
      <c r="I97" s="5" t="str">
        <f>VLOOKUP(L97,Tabella_prezzi!$A$3:$J$308,3,FALSE)</f>
        <v>OpzGigabit</v>
      </c>
      <c r="J97" s="5">
        <f>VLOOKUP(L97,Tabella_prezzi!$A$3:$J$308,4,FALSE)</f>
        <v>26</v>
      </c>
      <c r="K97" s="5"/>
      <c r="L97" s="141" t="s">
        <v>289</v>
      </c>
      <c r="M97" s="4" t="str">
        <f>VLOOKUP(L97,Tabella_prezzi!$A$3:$J$308,6,FALSE)</f>
        <v>TS3L2-LAN1</v>
      </c>
    </row>
    <row r="98" spans="1:13" x14ac:dyDescent="0.25">
      <c r="A98" s="28" t="s">
        <v>157</v>
      </c>
      <c r="B98" s="4"/>
      <c r="C98" s="9"/>
      <c r="D98" s="4"/>
      <c r="E98" s="10"/>
      <c r="F98" s="4"/>
      <c r="G98" s="8" t="str">
        <f>""</f>
        <v/>
      </c>
      <c r="H98" s="11"/>
      <c r="I98" s="4" t="str">
        <f>""</f>
        <v/>
      </c>
      <c r="J98" s="5"/>
      <c r="K98" s="5"/>
      <c r="L98" s="4" t="str">
        <f>""</f>
        <v/>
      </c>
      <c r="M98" s="4" t="str">
        <f>""</f>
        <v/>
      </c>
    </row>
    <row r="99" spans="1:13" x14ac:dyDescent="0.25">
      <c r="A99" s="17" t="s">
        <v>529</v>
      </c>
      <c r="B99" s="17" t="s">
        <v>528</v>
      </c>
      <c r="C99" s="18"/>
      <c r="D99" s="5" t="str">
        <f>VLOOKUP(L99,Tabella_prezzi!$A$3:$J$308,8,FALSE)</f>
        <v>BOSS controller card, full height, with 2 240G M.2 Drives</v>
      </c>
      <c r="E99" s="19"/>
      <c r="F99" s="17"/>
      <c r="G99" s="17">
        <v>1</v>
      </c>
      <c r="H99" s="5"/>
      <c r="I99" s="5" t="str">
        <f>VLOOKUP(L99,Tabella_prezzi!$A$3:$J$308,3,FALSE)</f>
        <v>OpzBOSS240</v>
      </c>
      <c r="K99">
        <f>VLOOKUP(L99,Tabella_prezzi!$A$3:$J$308,4,FALSE)</f>
        <v>429</v>
      </c>
      <c r="L99" s="141" t="s">
        <v>339</v>
      </c>
      <c r="M99" s="4" t="str">
        <f>VLOOKUP(L99,Tabella_prezzi!$A$3:$J$308,6,FALSE)</f>
        <v>TS3L2-BOSS240</v>
      </c>
    </row>
    <row r="100" spans="1:13" x14ac:dyDescent="0.25">
      <c r="A100" s="17" t="s">
        <v>530</v>
      </c>
      <c r="B100" s="17" t="s">
        <v>528</v>
      </c>
      <c r="C100" s="18"/>
      <c r="D100" s="5" t="str">
        <f>VLOOKUP(L100,Tabella_prezzi!$A$3:$J$308,8,FALSE)</f>
        <v>BOSS controller card, full height, with 2 480G M.2 Drives</v>
      </c>
      <c r="E100" s="19"/>
      <c r="F100" s="17"/>
      <c r="G100" s="17">
        <v>1</v>
      </c>
      <c r="H100" s="5"/>
      <c r="I100" s="5" t="str">
        <f>VLOOKUP(L100,Tabella_prezzi!$A$3:$J$308,3,FALSE)</f>
        <v>OpzBOSS480</v>
      </c>
      <c r="K100">
        <f>VLOOKUP(L100,Tabella_prezzi!$A$3:$J$308,4,FALSE)</f>
        <v>748</v>
      </c>
      <c r="L100" s="141" t="s">
        <v>340</v>
      </c>
      <c r="M100" s="4" t="str">
        <f>VLOOKUP(L100,Tabella_prezzi!$A$3:$J$308,6,FALSE)</f>
        <v>TS3L2-BOSS480</v>
      </c>
    </row>
    <row r="101" spans="1:13" x14ac:dyDescent="0.25">
      <c r="A101" s="17" t="s">
        <v>509</v>
      </c>
      <c r="B101" s="17" t="s">
        <v>510</v>
      </c>
      <c r="C101" s="18"/>
      <c r="D101" s="5" t="str">
        <f>VLOOKUP(L101,Tabella_prezzi!$A$3:$J$308,8,FALSE)</f>
        <v>PERC H840 RAID Adapter for External MD14XX Only, 8GB NV Cache, Full Height</v>
      </c>
      <c r="E101" s="19"/>
      <c r="F101" s="17"/>
      <c r="G101" s="17">
        <v>1</v>
      </c>
      <c r="H101" s="5" t="str">
        <f>VLOOKUP(L101,Tabella_prezzi!$A$3:$J$308,9,FALSE)</f>
        <v>TS3-OpzA20H840</v>
      </c>
      <c r="I101" s="5" t="str">
        <f>VLOOKUP(L101,Tabella_prezzi!$A$3:$J$308,3,FALSE)</f>
        <v>OpzH840</v>
      </c>
      <c r="K101" s="5">
        <f>VLOOKUP(L101,Tabella_prezzi!$A$3:$J$308,4,FALSE)</f>
        <v>479</v>
      </c>
      <c r="L101" s="141" t="s">
        <v>346</v>
      </c>
      <c r="M101" s="4" t="str">
        <f>VLOOKUP(L101,Tabella_prezzi!$A$3:$J$308,6,FALSE)</f>
        <v>TS3L2-H840</v>
      </c>
    </row>
    <row r="102" spans="1:13" x14ac:dyDescent="0.25">
      <c r="A102" s="17" t="s">
        <v>602</v>
      </c>
      <c r="B102" s="17" t="s">
        <v>73</v>
      </c>
      <c r="C102" s="18"/>
      <c r="D102" s="5" t="str">
        <f>VLOOKUP(L102,Tabella_prezzi!$A$3:$J$308,8,FALSE)</f>
        <v>Scheda 41112 DP 10Gb SFP+, 2 x Transceiver SFP+, 10GbE</v>
      </c>
      <c r="E102" s="19"/>
      <c r="F102" s="17"/>
      <c r="G102" s="17">
        <v>1</v>
      </c>
      <c r="H102" s="5" t="str">
        <f>VLOOKUP(L102,Tabella_prezzi!$A$3:$J$308,9,FALSE)</f>
        <v>TS3-OpzA20CNA</v>
      </c>
      <c r="I102" s="5" t="str">
        <f>VLOOKUP(L102,Tabella_prezzi!$A$3:$J$308,3,FALSE)</f>
        <v>OpzCNA10Gb</v>
      </c>
      <c r="K102" s="5">
        <f>VLOOKUP(L102,Tabella_prezzi!$A$3:$J$308,4,FALSE)</f>
        <v>383</v>
      </c>
      <c r="L102" s="141" t="s">
        <v>342</v>
      </c>
      <c r="M102" s="4" t="str">
        <f>VLOOKUP(L102,Tabella_prezzi!$A$3:$J$308,6,FALSE)</f>
        <v>TS3L2-CNA10GB</v>
      </c>
    </row>
    <row r="103" spans="1:13" x14ac:dyDescent="0.25">
      <c r="A103" s="17" t="s">
        <v>603</v>
      </c>
      <c r="B103" s="17" t="s">
        <v>73</v>
      </c>
      <c r="C103" s="18" t="s">
        <v>601</v>
      </c>
      <c r="D103" s="5" t="str">
        <f>VLOOKUP(L103,Tabella_prezzi!$A$3:$J$308,8,FALSE)</f>
        <v>Scheda 41112 DP 10Gb SFP+, 2 x Cable, SFP+ to SFP+, 10GbE, Copper Twinax Direct Attach Cable, 3 Meter</v>
      </c>
      <c r="E103" s="19"/>
      <c r="F103" s="17"/>
      <c r="G103" s="17">
        <v>1</v>
      </c>
      <c r="H103" s="5" t="str">
        <f>VLOOKUP(L103,Tabella_prezzi!$A$3:$J$308,9,FALSE)</f>
        <v>TS3-OpzA20CNA3M</v>
      </c>
      <c r="I103" s="5" t="str">
        <f>VLOOKUP(L103,Tabella_prezzi!$A$3:$J$308,3,FALSE)</f>
        <v>OpzCNA10Gb</v>
      </c>
      <c r="K103" s="5">
        <f>VLOOKUP(L103,Tabella_prezzi!$A$3:$J$308,4,FALSE)</f>
        <v>411</v>
      </c>
      <c r="L103" s="141" t="s">
        <v>348</v>
      </c>
      <c r="M103" s="4" t="str">
        <f>VLOOKUP(L103,Tabella_prezzi!$A$3:$J$308,6,FALSE)</f>
        <v>TS3L2-CNA10M3</v>
      </c>
    </row>
    <row r="105" spans="1:13" x14ac:dyDescent="0.25">
      <c r="A105" s="7" t="s">
        <v>523</v>
      </c>
    </row>
    <row r="106" spans="1:13" x14ac:dyDescent="0.25">
      <c r="A106" s="4" t="str">
        <f>""</f>
        <v/>
      </c>
      <c r="B106" s="8"/>
      <c r="C106" s="9"/>
      <c r="D106" s="4"/>
      <c r="E106" s="10"/>
      <c r="F106" s="4"/>
      <c r="G106" s="8" t="str">
        <f>""</f>
        <v/>
      </c>
      <c r="H106" s="11"/>
      <c r="I106" s="4" t="str">
        <f>""</f>
        <v/>
      </c>
      <c r="J106" s="5"/>
      <c r="K106" s="5"/>
      <c r="L106" s="4" t="str">
        <f>""</f>
        <v/>
      </c>
      <c r="M106" s="4" t="str">
        <f>""</f>
        <v/>
      </c>
    </row>
    <row r="107" spans="1:13" x14ac:dyDescent="0.25">
      <c r="A107" s="4" t="s">
        <v>506</v>
      </c>
      <c r="B107" s="8" t="s">
        <v>73</v>
      </c>
      <c r="C107" s="9" t="s">
        <v>74</v>
      </c>
      <c r="D107" s="5" t="str">
        <f>VLOOKUP(L107,Tabella_prezzi!$A$3:$J$308,8,FALSE)</f>
        <v>Broadcom 5720 DP 1Gb NIC,Full Height</v>
      </c>
      <c r="E107" s="10"/>
      <c r="F107" s="4" t="s">
        <v>75</v>
      </c>
      <c r="G107" s="8">
        <v>1</v>
      </c>
      <c r="H107" s="5" t="str">
        <f>VLOOKUP(L107,Tabella_prezzi!$A$3:$J$308,9,FALSE)</f>
        <v>L2N04-OpzGigabit</v>
      </c>
      <c r="I107" s="5" t="str">
        <f>VLOOKUP(L107,Tabella_prezzi!$A$3:$J$308,3,FALSE)</f>
        <v>OpzGigabit</v>
      </c>
      <c r="J107" s="5">
        <f>VLOOKUP(L107,Tabella_prezzi!$A$3:$J$308,4,FALSE)</f>
        <v>26</v>
      </c>
      <c r="K107" s="5"/>
      <c r="L107" s="141" t="s">
        <v>289</v>
      </c>
      <c r="M107" s="4" t="str">
        <f>VLOOKUP(L107,Tabella_prezzi!$A$3:$J$308,6,FALSE)</f>
        <v>TS3L2-LAN1</v>
      </c>
    </row>
    <row r="108" spans="1:13" x14ac:dyDescent="0.25">
      <c r="A108" s="28" t="s">
        <v>157</v>
      </c>
      <c r="B108" s="4"/>
      <c r="C108" s="9"/>
      <c r="D108" s="4"/>
      <c r="E108" s="10"/>
      <c r="F108" s="4"/>
      <c r="G108" s="8" t="str">
        <f>""</f>
        <v/>
      </c>
      <c r="H108" s="11"/>
      <c r="I108" s="4" t="str">
        <f>""</f>
        <v/>
      </c>
      <c r="J108" s="5"/>
      <c r="K108" s="5"/>
      <c r="L108" s="4" t="str">
        <f>""</f>
        <v/>
      </c>
      <c r="M108" s="4" t="str">
        <f>""</f>
        <v/>
      </c>
    </row>
    <row r="109" spans="1:13" x14ac:dyDescent="0.25">
      <c r="A109" s="17" t="s">
        <v>529</v>
      </c>
      <c r="B109" s="17" t="s">
        <v>528</v>
      </c>
      <c r="C109" s="18"/>
      <c r="D109" s="5" t="str">
        <f>VLOOKUP(L109,Tabella_prezzi!$A$3:$J$308,8,FALSE)</f>
        <v>BOSS controller card, full height, with 2 240G M.2 Drives</v>
      </c>
      <c r="E109" s="19"/>
      <c r="F109" s="17"/>
      <c r="G109" s="17">
        <v>1</v>
      </c>
      <c r="H109" s="5"/>
      <c r="I109" s="5" t="str">
        <f>VLOOKUP(L109,Tabella_prezzi!$A$3:$J$308,3,FALSE)</f>
        <v>OpzBOSS240</v>
      </c>
      <c r="J109">
        <f>VLOOKUP(L109,Tabella_prezzi!$A$3:$J$308,4,FALSE)</f>
        <v>429</v>
      </c>
      <c r="K109" s="5"/>
      <c r="L109" s="141" t="s">
        <v>339</v>
      </c>
      <c r="M109" s="4" t="str">
        <f>VLOOKUP(L109,Tabella_prezzi!$A$3:$J$308,6,FALSE)</f>
        <v>TS3L2-BOSS240</v>
      </c>
    </row>
    <row r="110" spans="1:13" x14ac:dyDescent="0.25">
      <c r="A110" s="17" t="s">
        <v>530</v>
      </c>
      <c r="B110" s="17" t="s">
        <v>528</v>
      </c>
      <c r="C110" s="18"/>
      <c r="D110" s="5" t="str">
        <f>VLOOKUP(L110,Tabella_prezzi!$A$3:$J$308,8,FALSE)</f>
        <v>BOSS controller card, full height, with 2 480G M.2 Drives</v>
      </c>
      <c r="E110" s="19"/>
      <c r="F110" s="17"/>
      <c r="G110" s="17">
        <v>1</v>
      </c>
      <c r="H110" s="5"/>
      <c r="I110" s="5" t="str">
        <f>VLOOKUP(L110,Tabella_prezzi!$A$3:$J$308,3,FALSE)</f>
        <v>OpzBOSS480</v>
      </c>
      <c r="J110">
        <f>VLOOKUP(L110,Tabella_prezzi!$A$3:$J$308,4,FALSE)</f>
        <v>748</v>
      </c>
      <c r="K110" s="5"/>
      <c r="L110" s="141" t="s">
        <v>340</v>
      </c>
      <c r="M110" s="4" t="str">
        <f>VLOOKUP(L110,Tabella_prezzi!$A$3:$J$308,6,FALSE)</f>
        <v>TS3L2-BOSS480</v>
      </c>
    </row>
    <row r="111" spans="1:13" x14ac:dyDescent="0.25">
      <c r="A111" s="17" t="s">
        <v>509</v>
      </c>
      <c r="B111" s="17" t="s">
        <v>510</v>
      </c>
      <c r="C111" s="18"/>
      <c r="D111" s="5" t="str">
        <f>VLOOKUP(L111,Tabella_prezzi!$A$3:$J$308,8,FALSE)</f>
        <v>PERC H840 RAID Adapter for External MD14XX Only, 8GB NV Cache, Full Height</v>
      </c>
      <c r="E111" s="19"/>
      <c r="F111" s="17"/>
      <c r="G111" s="17">
        <v>1</v>
      </c>
      <c r="H111" s="5" t="str">
        <f>VLOOKUP(L111,Tabella_prezzi!$A$3:$J$308,9,FALSE)</f>
        <v>TS3-OpzA20H840</v>
      </c>
      <c r="I111" s="5" t="str">
        <f>VLOOKUP(L111,Tabella_prezzi!$A$3:$J$308,3,FALSE)</f>
        <v>OpzH840</v>
      </c>
      <c r="K111" s="5">
        <f>VLOOKUP(L111,Tabella_prezzi!$A$3:$J$308,4,FALSE)</f>
        <v>479</v>
      </c>
      <c r="L111" s="141" t="s">
        <v>346</v>
      </c>
      <c r="M111" s="4" t="str">
        <f>VLOOKUP(L111,Tabella_prezzi!$A$3:$J$308,6,FALSE)</f>
        <v>TS3L2-H840</v>
      </c>
    </row>
    <row r="112" spans="1:13" x14ac:dyDescent="0.25">
      <c r="A112" s="17" t="s">
        <v>602</v>
      </c>
      <c r="B112" s="17" t="s">
        <v>73</v>
      </c>
      <c r="C112" s="18"/>
      <c r="D112" s="5" t="str">
        <f>VLOOKUP(L112,Tabella_prezzi!$A$3:$J$308,8,FALSE)</f>
        <v>Scheda 41112 DP 10Gb SFP+, 2 x Transceiver SFP+, 10GbE</v>
      </c>
      <c r="E112" s="19"/>
      <c r="F112" s="17"/>
      <c r="G112" s="17">
        <v>1</v>
      </c>
      <c r="H112" s="5" t="str">
        <f>VLOOKUP(L112,Tabella_prezzi!$A$3:$J$308,9,FALSE)</f>
        <v>TS3-OpzA20CNA</v>
      </c>
      <c r="I112" s="5" t="str">
        <f>VLOOKUP(L112,Tabella_prezzi!$A$3:$J$308,3,FALSE)</f>
        <v>OpzCNA10Gb</v>
      </c>
      <c r="K112" s="5">
        <f>VLOOKUP(L112,Tabella_prezzi!$A$3:$J$308,4,FALSE)</f>
        <v>383</v>
      </c>
      <c r="L112" s="141" t="s">
        <v>342</v>
      </c>
      <c r="M112" s="4" t="str">
        <f>VLOOKUP(L112,Tabella_prezzi!$A$3:$J$308,6,FALSE)</f>
        <v>TS3L2-CNA10GB</v>
      </c>
    </row>
    <row r="113" spans="1:13" x14ac:dyDescent="0.25">
      <c r="A113" s="17" t="s">
        <v>603</v>
      </c>
      <c r="B113" s="17" t="s">
        <v>73</v>
      </c>
      <c r="C113" s="18" t="s">
        <v>601</v>
      </c>
      <c r="D113" s="5" t="str">
        <f>VLOOKUP(L113,Tabella_prezzi!$A$3:$J$308,8,FALSE)</f>
        <v>Scheda 41112 DP 10Gb SFP+, 2 x Cable, SFP+ to SFP+, 10GbE, Copper Twinax Direct Attach Cable, 3 Meter</v>
      </c>
      <c r="E113" s="19"/>
      <c r="F113" s="17"/>
      <c r="G113" s="17">
        <v>1</v>
      </c>
      <c r="H113" s="5" t="str">
        <f>VLOOKUP(L113,Tabella_prezzi!$A$3:$J$308,9,FALSE)</f>
        <v>TS3-OpzA20CNA3M</v>
      </c>
      <c r="I113" s="5" t="str">
        <f>VLOOKUP(L113,Tabella_prezzi!$A$3:$J$308,3,FALSE)</f>
        <v>OpzCNA10Gb</v>
      </c>
      <c r="K113" s="5">
        <f>VLOOKUP(L113,Tabella_prezzi!$A$3:$J$308,4,FALSE)</f>
        <v>411</v>
      </c>
      <c r="L113" s="141" t="s">
        <v>348</v>
      </c>
      <c r="M113" s="4" t="str">
        <f>VLOOKUP(L113,Tabella_prezzi!$A$3:$J$308,6,FALSE)</f>
        <v>TS3L2-CNA10M3</v>
      </c>
    </row>
    <row r="115" spans="1:13" x14ac:dyDescent="0.25">
      <c r="A115" s="7" t="s">
        <v>522</v>
      </c>
    </row>
    <row r="116" spans="1:13" x14ac:dyDescent="0.25">
      <c r="A116" s="4" t="str">
        <f>""</f>
        <v/>
      </c>
      <c r="B116" s="8"/>
      <c r="C116" s="9"/>
      <c r="D116" s="4"/>
      <c r="E116" s="10"/>
      <c r="F116" s="4"/>
      <c r="G116" s="8" t="str">
        <f>""</f>
        <v/>
      </c>
      <c r="H116" s="11"/>
      <c r="I116" s="4" t="str">
        <f>""</f>
        <v/>
      </c>
      <c r="J116" s="5"/>
      <c r="K116" s="5"/>
      <c r="L116" s="4" t="str">
        <f>""</f>
        <v/>
      </c>
      <c r="M116" s="4" t="str">
        <f>""</f>
        <v/>
      </c>
    </row>
    <row r="117" spans="1:13" x14ac:dyDescent="0.25">
      <c r="A117" s="4" t="s">
        <v>506</v>
      </c>
      <c r="B117" s="8" t="s">
        <v>73</v>
      </c>
      <c r="C117" s="9" t="s">
        <v>74</v>
      </c>
      <c r="D117" s="5" t="str">
        <f>VLOOKUP(L117,Tabella_prezzi!$A$3:$J$308,8,FALSE)</f>
        <v>Broadcom 5720 DP 1Gb NIC,Full Height</v>
      </c>
      <c r="E117" s="10"/>
      <c r="F117" s="4" t="s">
        <v>75</v>
      </c>
      <c r="G117" s="8">
        <v>1</v>
      </c>
      <c r="H117" s="5" t="str">
        <f>VLOOKUP(L117,Tabella_prezzi!$A$3:$J$308,9,FALSE)</f>
        <v>L2N04-OpzGigabit</v>
      </c>
      <c r="I117" s="5" t="str">
        <f>VLOOKUP(L117,Tabella_prezzi!$A$3:$J$308,3,FALSE)</f>
        <v>OpzGigabit</v>
      </c>
      <c r="J117" s="5">
        <f>VLOOKUP(L117,Tabella_prezzi!$A$3:$J$308,4,FALSE)</f>
        <v>26</v>
      </c>
      <c r="K117" s="5"/>
      <c r="L117" s="141" t="s">
        <v>289</v>
      </c>
      <c r="M117" s="4" t="str">
        <f>VLOOKUP(L117,Tabella_prezzi!$A$3:$J$308,6,FALSE)</f>
        <v>TS3L2-LAN1</v>
      </c>
    </row>
    <row r="118" spans="1:13" x14ac:dyDescent="0.25">
      <c r="D118" s="5"/>
    </row>
    <row r="119" spans="1:13" x14ac:dyDescent="0.25">
      <c r="A119" s="27" t="s">
        <v>275</v>
      </c>
      <c r="B119" s="8"/>
      <c r="C119" s="9"/>
      <c r="D119" s="5" t="str">
        <f>VLOOKUP(L119,Tabella_prezzi!$A$3:$J$308,8,FALSE)</f>
        <v>Cavo “patch” di 3 mt RJ45 certificato per gigabit ethernet</v>
      </c>
      <c r="E119" s="10"/>
      <c r="F119" s="4"/>
      <c r="G119" s="8" t="str">
        <f>""</f>
        <v/>
      </c>
      <c r="H119" s="5" t="str">
        <f>VLOOKUP(L119,Tabella_prezzi!$A$3:$J$308,9,FALSE)</f>
        <v>TS3-OpzA20RJ45</v>
      </c>
      <c r="I119" s="5" t="str">
        <f>VLOOKUP(L119,Tabella_prezzi!$A$3:$J$308,3,FALSE)</f>
        <v>TS3-OpzA20RJ45</v>
      </c>
      <c r="J119" s="20"/>
      <c r="K119" s="5">
        <f>VLOOKUP(L119,Tabella_prezzi!$A$3:$J$308,4,FALSE)</f>
        <v>3</v>
      </c>
      <c r="L119" s="141" t="s">
        <v>345</v>
      </c>
      <c r="M119" s="4" t="str">
        <f>VLOOKUP(L119,Tabella_prezzi!$A$3:$J$308,6,FALSE)</f>
        <v>TS3L2-RJ453M</v>
      </c>
    </row>
    <row r="120" spans="1:13" x14ac:dyDescent="0.25">
      <c r="A120" s="27" t="s">
        <v>496</v>
      </c>
      <c r="B120" s="8"/>
      <c r="C120" s="9"/>
      <c r="D120" s="5" t="s">
        <v>496</v>
      </c>
      <c r="E120" s="10"/>
      <c r="F120" s="4"/>
      <c r="G120" s="8" t="str">
        <f>""</f>
        <v/>
      </c>
      <c r="H120" s="5">
        <f>VLOOKUP(L120,Tabella_prezzi!$A$3:$J$308,9,FALSE)</f>
        <v>0</v>
      </c>
      <c r="I120" s="5" t="str">
        <f>VLOOKUP(L120,Tabella_prezzi!$A$3:$J$308,3,FALSE)</f>
        <v>OpzDAC3M</v>
      </c>
      <c r="J120" s="20"/>
      <c r="K120" s="5">
        <f>VLOOKUP(L120,Tabella_prezzi!$A$3:$J$308,4,FALSE)</f>
        <v>9999</v>
      </c>
      <c r="L120" s="141" t="s">
        <v>344</v>
      </c>
      <c r="M120" s="4" t="str">
        <f>VLOOKUP(L120,Tabella_prezzi!$A$3:$J$308,6,FALSE)</f>
        <v>TS3L2-DAC3M</v>
      </c>
    </row>
    <row r="121" spans="1:13" x14ac:dyDescent="0.25">
      <c r="A121" s="27" t="s">
        <v>532</v>
      </c>
      <c r="B121" s="8"/>
      <c r="C121" s="9"/>
      <c r="D121" s="27" t="s">
        <v>532</v>
      </c>
      <c r="E121" s="10"/>
      <c r="F121" s="4"/>
      <c r="G121" s="8"/>
      <c r="H121" s="5">
        <f>VLOOKUP(L121,Tabella_prezzi!$A$3:$J$308,9,FALSE)</f>
        <v>0</v>
      </c>
      <c r="I121" s="5" t="str">
        <f>VLOOKUP(L121,Tabella_prezzi!$A$3:$J$308,3,FALSE)</f>
        <v>Opz10GBIC</v>
      </c>
      <c r="J121" s="20"/>
      <c r="K121" s="5">
        <f>VLOOKUP(L121,Tabella_prezzi!$A$3:$J$308,4,FALSE)</f>
        <v>90</v>
      </c>
      <c r="L121" s="141" t="s">
        <v>343</v>
      </c>
      <c r="M121" s="4" t="str">
        <f>VLOOKUP(L121,Tabella_prezzi!$A$3:$J$308,6,FALSE)</f>
        <v>TS3L2-10GBIC</v>
      </c>
    </row>
    <row r="123" spans="1:13" x14ac:dyDescent="0.25">
      <c r="A123" s="7" t="s">
        <v>514</v>
      </c>
    </row>
    <row r="124" spans="1:13" x14ac:dyDescent="0.25">
      <c r="A124" s="4" t="s">
        <v>112</v>
      </c>
      <c r="B124" s="8" t="s">
        <v>113</v>
      </c>
      <c r="C124" s="9" t="s">
        <v>114</v>
      </c>
      <c r="D124" s="4" t="s">
        <v>112</v>
      </c>
      <c r="E124" s="10"/>
      <c r="F124" s="4" t="s">
        <v>115</v>
      </c>
      <c r="G124" s="8" t="str">
        <f>""</f>
        <v/>
      </c>
      <c r="H124" s="11"/>
      <c r="I124" s="4" t="str">
        <f>""</f>
        <v/>
      </c>
      <c r="J124" s="4"/>
      <c r="K124" s="4"/>
      <c r="L124" s="4" t="str">
        <f>""</f>
        <v/>
      </c>
      <c r="M124" s="4" t="str">
        <f>""</f>
        <v/>
      </c>
    </row>
    <row r="125" spans="1:13" x14ac:dyDescent="0.25">
      <c r="A125" s="28" t="s">
        <v>157</v>
      </c>
      <c r="B125" s="4"/>
      <c r="C125" s="9"/>
      <c r="D125" s="4"/>
      <c r="E125" s="10"/>
      <c r="F125" s="4"/>
      <c r="G125" s="8" t="str">
        <f>""</f>
        <v/>
      </c>
      <c r="H125" s="11"/>
      <c r="I125" s="4" t="str">
        <f>""</f>
        <v/>
      </c>
      <c r="J125" s="5"/>
      <c r="K125" s="5"/>
      <c r="L125" s="4" t="str">
        <f>""</f>
        <v/>
      </c>
      <c r="M125" s="4" t="str">
        <f>""</f>
        <v/>
      </c>
    </row>
    <row r="126" spans="1:13" x14ac:dyDescent="0.25">
      <c r="A126" s="17" t="s">
        <v>408</v>
      </c>
      <c r="B126" s="17" t="s">
        <v>113</v>
      </c>
      <c r="C126" s="18" t="s">
        <v>116</v>
      </c>
      <c r="D126" s="17" t="s">
        <v>117</v>
      </c>
      <c r="E126" s="19"/>
      <c r="F126" s="17" t="s">
        <v>118</v>
      </c>
      <c r="G126" s="17">
        <v>1</v>
      </c>
      <c r="H126" s="5" t="str">
        <f>VLOOKUP(L126,Tabella_prezzi!$A$3:$J$308,9,FALSE)</f>
        <v>TS3-OpzA20BT640</v>
      </c>
      <c r="I126" s="5" t="str">
        <f>VLOOKUP(L126,Tabella_prezzi!$A$3:$J$308,3,FALSE)</f>
        <v>TS3-OpzA20BT640</v>
      </c>
      <c r="J126" s="5"/>
      <c r="K126" s="20">
        <f>VLOOKUP(L126,Tabella_prezzi!$A$3:$J$308,4,FALSE)</f>
        <v>99.99</v>
      </c>
      <c r="L126" s="141" t="s">
        <v>338</v>
      </c>
      <c r="M126" s="4" t="str">
        <f>VLOOKUP(L126,Tabella_prezzi!$A$3:$J$308,6,FALSE)</f>
        <v>TS3L2-BEZEL</v>
      </c>
    </row>
    <row r="128" spans="1:13" x14ac:dyDescent="0.25">
      <c r="A128" s="7" t="s">
        <v>122</v>
      </c>
    </row>
    <row r="129" spans="1:13" x14ac:dyDescent="0.25">
      <c r="A129" s="4" t="s">
        <v>123</v>
      </c>
      <c r="B129" s="8" t="s">
        <v>124</v>
      </c>
      <c r="C129" s="9" t="s">
        <v>125</v>
      </c>
      <c r="D129" s="4" t="s">
        <v>123</v>
      </c>
      <c r="E129" s="10"/>
      <c r="F129" s="4" t="s">
        <v>126</v>
      </c>
      <c r="G129" s="8" t="str">
        <f>""</f>
        <v/>
      </c>
      <c r="H129" s="11"/>
      <c r="I129" s="4" t="str">
        <f>""</f>
        <v/>
      </c>
      <c r="J129" s="4"/>
      <c r="K129" s="4"/>
      <c r="L129" s="4" t="str">
        <f>""</f>
        <v/>
      </c>
      <c r="M129" s="4" t="str">
        <f>""</f>
        <v/>
      </c>
    </row>
    <row r="130" spans="1:13" x14ac:dyDescent="0.25">
      <c r="A130" s="28" t="s">
        <v>157</v>
      </c>
      <c r="B130" s="4"/>
      <c r="C130" s="9"/>
      <c r="D130" s="4"/>
      <c r="E130" s="10"/>
      <c r="F130" s="4"/>
      <c r="G130" s="8" t="str">
        <f>""</f>
        <v/>
      </c>
      <c r="H130" s="11"/>
      <c r="I130" s="4" t="str">
        <f>""</f>
        <v/>
      </c>
      <c r="J130" s="5"/>
      <c r="K130" s="5"/>
      <c r="L130" s="4" t="str">
        <f>""</f>
        <v/>
      </c>
      <c r="M130" s="4" t="str">
        <f>""</f>
        <v/>
      </c>
    </row>
    <row r="131" spans="1:13" x14ac:dyDescent="0.25">
      <c r="A131" s="17" t="s">
        <v>127</v>
      </c>
      <c r="B131" s="17" t="s">
        <v>124</v>
      </c>
      <c r="C131" s="18" t="s">
        <v>128</v>
      </c>
      <c r="D131" s="17" t="s">
        <v>129</v>
      </c>
      <c r="E131" s="19"/>
      <c r="F131" s="17" t="s">
        <v>130</v>
      </c>
      <c r="G131" s="17">
        <v>1</v>
      </c>
      <c r="H131" s="5">
        <f>VLOOKUP(L131,Tabella_prezzi!$A$3:$J$308,9,FALSE)</f>
        <v>0</v>
      </c>
      <c r="I131" s="5" t="str">
        <f>VLOOKUP(L131,Tabella_prezzi!$A$3:$J$308,3,FALSE)</f>
        <v>OpzDVD</v>
      </c>
      <c r="J131" s="5"/>
      <c r="K131" s="20">
        <f>VLOOKUP(L131,Tabella_prezzi!$A$3:$J$308,4,FALSE)</f>
        <v>99.99</v>
      </c>
      <c r="L131" s="17" t="s">
        <v>199</v>
      </c>
      <c r="M131" s="4" t="str">
        <f>VLOOKUP(L131,Tabella_prezzi!$A$3:$J$308,6,FALSE)</f>
        <v>TS3L1-DVD</v>
      </c>
    </row>
    <row r="133" spans="1:13" x14ac:dyDescent="0.25">
      <c r="A133" s="7" t="s">
        <v>521</v>
      </c>
    </row>
    <row r="134" spans="1:13" x14ac:dyDescent="0.25">
      <c r="A134" s="4" t="s">
        <v>134</v>
      </c>
      <c r="B134" s="8" t="s">
        <v>135</v>
      </c>
      <c r="C134" s="9" t="s">
        <v>136</v>
      </c>
      <c r="D134" s="4" t="s">
        <v>137</v>
      </c>
      <c r="E134" s="10"/>
      <c r="F134" s="4" t="s">
        <v>138</v>
      </c>
      <c r="G134" s="8" t="str">
        <f>""</f>
        <v/>
      </c>
      <c r="H134" s="11"/>
      <c r="I134" s="4" t="str">
        <f>""</f>
        <v/>
      </c>
      <c r="J134" s="5"/>
      <c r="K134" s="5"/>
      <c r="L134" s="4" t="str">
        <f>""</f>
        <v/>
      </c>
      <c r="M134" s="4" t="str">
        <f>""</f>
        <v/>
      </c>
    </row>
    <row r="135" spans="1:13" x14ac:dyDescent="0.25">
      <c r="A135" s="4" t="s">
        <v>516</v>
      </c>
      <c r="B135" s="8" t="s">
        <v>135</v>
      </c>
      <c r="C135" s="9" t="s">
        <v>136</v>
      </c>
      <c r="D135" s="5" t="str">
        <f>VLOOKUP(L135,Tabella_prezzi!$A$3:$J$308,8,FALSE)</f>
        <v>Estensione della manutenzione in garanzia per ulteriori 24 mesi</v>
      </c>
      <c r="E135" s="10"/>
      <c r="F135" s="4" t="s">
        <v>138</v>
      </c>
      <c r="G135" s="8">
        <v>1</v>
      </c>
      <c r="H135" s="5" t="str">
        <f>VLOOKUP(L135,Tabella_prezzi!$A$3:$J$503,9,FALSE)</f>
        <v>L2N18-OpzEstensione24</v>
      </c>
      <c r="I135" s="5" t="str">
        <f>VLOOKUP(L135,Tabella_prezzi!$A$3:$J$503,3,FALSE)</f>
        <v>OpzEstensione24</v>
      </c>
      <c r="J135" s="5">
        <f>VLOOKUP(L135,Tabella_prezzi!$A$3:$J$503,4,FALSE)</f>
        <v>79</v>
      </c>
      <c r="K135" s="4"/>
      <c r="L135" s="4" t="s">
        <v>336</v>
      </c>
      <c r="M135" s="4" t="str">
        <f>VLOOKUP(L135,Tabella_prezzi!$A$3:$J$308,6,FALSE)</f>
        <v>TS3L2-5Y</v>
      </c>
    </row>
    <row r="137" spans="1:13" x14ac:dyDescent="0.25">
      <c r="A137" s="7" t="s">
        <v>520</v>
      </c>
    </row>
    <row r="138" spans="1:13" x14ac:dyDescent="0.25">
      <c r="A138" s="21" t="str">
        <f>""</f>
        <v/>
      </c>
      <c r="B138" s="8" t="s">
        <v>142</v>
      </c>
      <c r="C138" s="9"/>
      <c r="D138" s="4"/>
      <c r="E138" s="10"/>
      <c r="F138" s="4"/>
      <c r="G138" s="8" t="str">
        <f>""</f>
        <v/>
      </c>
      <c r="H138" s="11"/>
      <c r="I138" s="4" t="str">
        <f>""</f>
        <v/>
      </c>
      <c r="J138" s="4"/>
      <c r="K138" s="4"/>
      <c r="L138" s="4" t="str">
        <f>""</f>
        <v/>
      </c>
      <c r="M138" s="4" t="str">
        <f>""</f>
        <v/>
      </c>
    </row>
    <row r="139" spans="1:13" x14ac:dyDescent="0.25">
      <c r="A139" s="21" t="s">
        <v>148</v>
      </c>
      <c r="B139" s="8" t="s">
        <v>142</v>
      </c>
      <c r="C139" s="9" t="s">
        <v>143</v>
      </c>
      <c r="D139" s="5" t="str">
        <f>VLOOKUP(L139,Tabella_prezzi!$A$3:$J$308,8,FALSE)</f>
        <v>Hard Disk Retention 36 mesi</v>
      </c>
      <c r="E139" s="10"/>
      <c r="F139" s="4" t="s">
        <v>144</v>
      </c>
      <c r="G139" s="8">
        <v>1</v>
      </c>
      <c r="H139" s="5" t="str">
        <f>VLOOKUP(L139,Tabella_prezzi!$A$3:$J$503,9,FALSE)</f>
        <v>L2N17-OpzHDDRetention</v>
      </c>
      <c r="I139" s="5" t="str">
        <f>VLOOKUP(L139,Tabella_prezzi!$A$3:$J$503,3,FALSE)</f>
        <v>OpzHDDRetention</v>
      </c>
      <c r="J139" s="5">
        <f>VLOOKUP(L139,Tabella_prezzi!$A$3:$J$503,4,FALSE)</f>
        <v>207</v>
      </c>
      <c r="K139" s="5"/>
      <c r="L139" s="5" t="s">
        <v>334</v>
      </c>
      <c r="M139" s="4" t="str">
        <f>VLOOKUP(L139,Tabella_prezzi!$A$3:$J$308,6,FALSE)</f>
        <v>TS3L2-HDRTNTN</v>
      </c>
    </row>
    <row r="140" spans="1:13" x14ac:dyDescent="0.25">
      <c r="A140" s="22" t="s">
        <v>569</v>
      </c>
      <c r="B140" s="23" t="s">
        <v>142</v>
      </c>
      <c r="C140" s="24" t="s">
        <v>143</v>
      </c>
      <c r="D140" s="5" t="str">
        <f>VLOOKUP(L140,Tabella_prezzi!$A$3:$J$308,8,FALSE)</f>
        <v>Hard Disk Retention 60 mesi</v>
      </c>
      <c r="E140" s="25"/>
      <c r="F140" s="23" t="s">
        <v>144</v>
      </c>
      <c r="G140" s="23">
        <v>1</v>
      </c>
      <c r="H140" s="5" t="str">
        <f>VLOOKUP(L140,Tabella_prezzi!$A$3:$J$503,9,FALSE)</f>
        <v>L2N28-OpzHDDRetention60</v>
      </c>
      <c r="I140" s="5" t="str">
        <f>VLOOKUP(L140,Tabella_prezzi!$A$3:$J$503,3,FALSE)</f>
        <v>OpzHDDRetention60</v>
      </c>
      <c r="J140" s="5">
        <f>VLOOKUP(L140,Tabella_prezzi!$A$3:$J$503,4,FALSE)</f>
        <v>345</v>
      </c>
      <c r="K140" s="23"/>
      <c r="L140" s="5" t="s">
        <v>347</v>
      </c>
      <c r="M140" s="4" t="str">
        <f>VLOOKUP(L140,Tabella_prezzi!$A$3:$J$308,6,FALSE)</f>
        <v>TS3L2-HDRTNTN60</v>
      </c>
    </row>
    <row r="141" spans="1:13" x14ac:dyDescent="0.25">
      <c r="D141" s="5"/>
    </row>
    <row r="142" spans="1:13" x14ac:dyDescent="0.25">
      <c r="A142" s="7" t="s">
        <v>519</v>
      </c>
    </row>
    <row r="143" spans="1:13" x14ac:dyDescent="0.25">
      <c r="A143" s="4" t="str">
        <f>""</f>
        <v/>
      </c>
      <c r="B143" s="8"/>
      <c r="C143" s="9"/>
      <c r="D143" s="4"/>
      <c r="E143" s="10"/>
      <c r="F143" s="4"/>
      <c r="G143" s="8" t="str">
        <f>""</f>
        <v/>
      </c>
      <c r="H143" s="11"/>
      <c r="I143" s="4" t="str">
        <f>""</f>
        <v/>
      </c>
      <c r="J143" s="4"/>
      <c r="K143" s="4"/>
      <c r="L143" s="4" t="str">
        <f>""</f>
        <v/>
      </c>
      <c r="M143" s="4" t="str">
        <f>""</f>
        <v/>
      </c>
    </row>
    <row r="144" spans="1:13" x14ac:dyDescent="0.25">
      <c r="A144" s="21" t="s">
        <v>515</v>
      </c>
      <c r="B144" s="8"/>
      <c r="C144" s="9"/>
      <c r="D144" s="5" t="str">
        <f>VLOOKUP(L144,Tabella_prezzi!$A$3:$J$308,8,FALSE)</f>
        <v>UPS PowerMe RPMM/9K - 3000VA Tower</v>
      </c>
      <c r="E144" s="10"/>
      <c r="F144" s="4"/>
      <c r="G144" s="8">
        <v>1</v>
      </c>
      <c r="H144" s="5" t="str">
        <f>VLOOKUP(L144,Tabella_prezzi!$A$3:$J$503,9,FALSE)</f>
        <v>L2N10-OpzUps</v>
      </c>
      <c r="I144" s="5" t="str">
        <f>VLOOKUP(L144,Tabella_prezzi!$A$3:$J$503,3,FALSE)</f>
        <v>OpzUps (3000VA)</v>
      </c>
      <c r="J144" s="5">
        <f>VLOOKUP(L144,Tabella_prezzi!$A$3:$J$503,4,FALSE)</f>
        <v>300</v>
      </c>
      <c r="K144" s="5"/>
      <c r="L144" s="5" t="s">
        <v>308</v>
      </c>
      <c r="M144" s="4" t="str">
        <f>VLOOKUP(L144,Tabella_prezzi!$A$3:$J$308,6,FALSE)</f>
        <v>TS3L2-UPS</v>
      </c>
    </row>
    <row r="146" spans="1:13" x14ac:dyDescent="0.25">
      <c r="A146" s="7" t="s">
        <v>518</v>
      </c>
    </row>
    <row r="147" spans="1:13" x14ac:dyDescent="0.25">
      <c r="A147" s="4" t="str">
        <f>""</f>
        <v/>
      </c>
      <c r="B147" s="8"/>
      <c r="C147" s="9"/>
      <c r="D147" s="4"/>
      <c r="E147" s="10"/>
      <c r="F147" s="4"/>
      <c r="G147" s="8" t="str">
        <f>""</f>
        <v/>
      </c>
      <c r="H147" s="11"/>
      <c r="I147" s="4" t="str">
        <f>""</f>
        <v/>
      </c>
      <c r="J147" s="4"/>
      <c r="K147" s="4"/>
      <c r="L147" s="4" t="str">
        <f>""</f>
        <v/>
      </c>
      <c r="M147" s="4" t="str">
        <f>""</f>
        <v/>
      </c>
    </row>
    <row r="148" spans="1:13" x14ac:dyDescent="0.25">
      <c r="A148" s="21" t="s">
        <v>517</v>
      </c>
      <c r="B148" s="8"/>
      <c r="C148" s="9"/>
      <c r="D148" s="5" t="str">
        <f>VLOOKUP(L148,Tabella_prezzi!$A$3:$J$308,8,FALSE)</f>
        <v>Monitor 19" E1920H, Mouse MS116, Tastiera KB216</v>
      </c>
      <c r="E148" s="10"/>
      <c r="F148" s="4"/>
      <c r="G148" s="8">
        <v>1</v>
      </c>
      <c r="H148" s="5" t="str">
        <f>VLOOKUP(L148,Tabella_prezzi!$A$3:$J$503,9,FALSE)</f>
        <v>L2N11-OpzGUI</v>
      </c>
      <c r="I148" s="5" t="str">
        <f>VLOOKUP(L148,Tabella_prezzi!$A$3:$J$503,3,FALSE)</f>
        <v>OpzGUI per tower</v>
      </c>
      <c r="J148" s="5">
        <f>VLOOKUP(L148,Tabella_prezzi!$A$3:$J$503,4,FALSE)</f>
        <v>104</v>
      </c>
      <c r="K148" s="5"/>
      <c r="L148" s="5" t="s">
        <v>310</v>
      </c>
      <c r="M148" s="4" t="str">
        <f>VLOOKUP(L148,Tabella_prezzi!$A$3:$J$308,6,FALSE)</f>
        <v>TS3L2-GUI</v>
      </c>
    </row>
    <row r="150" spans="1:13" x14ac:dyDescent="0.25">
      <c r="A150" s="4" t="s">
        <v>112</v>
      </c>
    </row>
    <row r="151" spans="1:13" x14ac:dyDescent="0.25">
      <c r="A151" t="s">
        <v>557</v>
      </c>
    </row>
    <row r="153" spans="1:13" x14ac:dyDescent="0.25">
      <c r="A153" s="205" t="s">
        <v>616</v>
      </c>
      <c r="B153" s="8"/>
      <c r="C153" s="9"/>
      <c r="D153" s="5" t="str">
        <f>VLOOKUP(L153,Tabella_prezzi!$A$3:$J$308,8,FALSE)</f>
        <v>Windows Server 2019 Device CAL (STD or DC)</v>
      </c>
      <c r="E153" s="10"/>
      <c r="F153" s="4"/>
      <c r="G153" s="8">
        <v>1</v>
      </c>
      <c r="H153" s="5" t="str">
        <f>VLOOKUP(L153,Tabella_prezzi!$A$3:$J$503,9,FALSE)</f>
        <v>L2N14-OpzDeviceCal</v>
      </c>
      <c r="I153" s="5" t="str">
        <f>VLOOKUP(L153,Tabella_prezzi!$A$3:$J$503,3,FALSE)</f>
        <v>OpzDeviceCal</v>
      </c>
      <c r="J153" s="5">
        <f>VLOOKUP(L153,Tabella_prezzi!$A$3:$J$503,4,FALSE)</f>
        <v>23</v>
      </c>
      <c r="K153" s="5"/>
      <c r="L153" s="5" t="s">
        <v>322</v>
      </c>
      <c r="M153" s="4" t="str">
        <f>VLOOKUP(L153,Tabella_prezzi!$A$3:$J$308,6,FALSE)</f>
        <v>TS3L2-WINDEVCAL</v>
      </c>
    </row>
    <row r="154" spans="1:13" x14ac:dyDescent="0.25">
      <c r="A154" s="21" t="s">
        <v>617</v>
      </c>
      <c r="B154" s="8"/>
      <c r="C154" s="9"/>
      <c r="D154" s="5" t="str">
        <f>VLOOKUP(L154,Tabella_prezzi!$A$3:$J$308,8,FALSE)</f>
        <v>Windows Server 2019 User CAL (STD or DC)</v>
      </c>
      <c r="E154" s="10"/>
      <c r="F154" s="4"/>
      <c r="G154" s="8">
        <v>1</v>
      </c>
      <c r="H154" s="5" t="str">
        <f>VLOOKUP(L154,Tabella_prezzi!$A$3:$J$503,9,FALSE)</f>
        <v>L2N15-OpzUserCal</v>
      </c>
      <c r="I154" s="5" t="str">
        <f>VLOOKUP(L154,Tabella_prezzi!$A$3:$J$503,3,FALSE)</f>
        <v>OpzUserCal</v>
      </c>
      <c r="J154" s="5">
        <f>VLOOKUP(L154,Tabella_prezzi!$A$3:$J$503,4,FALSE)</f>
        <v>29</v>
      </c>
      <c r="K154" s="5"/>
      <c r="L154" s="5" t="s">
        <v>327</v>
      </c>
      <c r="M154" s="4" t="str">
        <f>VLOOKUP(L154,Tabella_prezzi!$A$3:$J$308,6,FALSE)</f>
        <v>TS3L2-WINUSRCAL</v>
      </c>
    </row>
  </sheetData>
  <conditionalFormatting sqref="A119">
    <cfRule type="expression" dxfId="14" priority="7">
      <formula>$J119&gt;0</formula>
    </cfRule>
  </conditionalFormatting>
  <conditionalFormatting sqref="A120:A121">
    <cfRule type="expression" dxfId="13" priority="3">
      <formula>$J120&gt;0</formula>
    </cfRule>
  </conditionalFormatting>
  <conditionalFormatting sqref="D121">
    <cfRule type="expression" dxfId="12" priority="2">
      <formula>$J121&gt;0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D0AEE8-3D5E-42F6-8CE8-1B729AA8A5FC}">
            <xm:f>Riepilogo!$P$34=0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A153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L124"/>
  <sheetViews>
    <sheetView topLeftCell="A50" workbookViewId="0">
      <selection activeCell="H71" sqref="H71:H77"/>
    </sheetView>
  </sheetViews>
  <sheetFormatPr defaultRowHeight="15" x14ac:dyDescent="0.25"/>
  <cols>
    <col min="1" max="1" width="6.7109375" bestFit="1" customWidth="1"/>
    <col min="2" max="2" width="3.85546875" bestFit="1" customWidth="1"/>
    <col min="3" max="3" width="34.28515625" bestFit="1" customWidth="1"/>
    <col min="4" max="4" width="16.5703125" bestFit="1" customWidth="1"/>
    <col min="5" max="5" width="6.7109375" bestFit="1" customWidth="1"/>
    <col min="6" max="6" width="22.7109375" bestFit="1" customWidth="1"/>
    <col min="7" max="7" width="5.7109375" bestFit="1" customWidth="1"/>
    <col min="8" max="8" width="112.28515625" bestFit="1" customWidth="1"/>
    <col min="9" max="9" width="14.5703125" bestFit="1" customWidth="1"/>
    <col min="10" max="10" width="12.140625" customWidth="1"/>
    <col min="12" max="12" width="14.5703125" bestFit="1" customWidth="1"/>
  </cols>
  <sheetData>
    <row r="1" spans="1:12" ht="15.75" thickBot="1" x14ac:dyDescent="0.3"/>
    <row r="2" spans="1:12" ht="15.75" thickBot="1" x14ac:dyDescent="0.3">
      <c r="A2" s="29" t="s">
        <v>18</v>
      </c>
      <c r="B2" s="29"/>
      <c r="C2" s="29" t="s">
        <v>16</v>
      </c>
      <c r="D2" s="29" t="s">
        <v>17</v>
      </c>
      <c r="E2" s="29" t="s">
        <v>18</v>
      </c>
      <c r="F2" s="29" t="s">
        <v>19</v>
      </c>
      <c r="G2" s="29" t="s">
        <v>170</v>
      </c>
      <c r="H2" s="29" t="s">
        <v>171</v>
      </c>
      <c r="I2" s="29" t="s">
        <v>172</v>
      </c>
      <c r="J2" s="29" t="s">
        <v>173</v>
      </c>
      <c r="L2" s="29" t="s">
        <v>172</v>
      </c>
    </row>
    <row r="3" spans="1:12" ht="15.75" thickBot="1" x14ac:dyDescent="0.3">
      <c r="A3" s="158" t="s">
        <v>21</v>
      </c>
      <c r="B3" s="159">
        <v>1</v>
      </c>
      <c r="C3" s="158" t="s">
        <v>20</v>
      </c>
      <c r="D3" s="157">
        <v>1399</v>
      </c>
      <c r="E3" s="158" t="s">
        <v>21</v>
      </c>
      <c r="F3" s="157" t="s">
        <v>22</v>
      </c>
      <c r="G3" s="160">
        <v>1</v>
      </c>
      <c r="H3" s="157" t="s">
        <v>1</v>
      </c>
      <c r="I3" s="158"/>
      <c r="J3" s="157" t="s">
        <v>175</v>
      </c>
      <c r="L3" s="177" t="s">
        <v>174</v>
      </c>
    </row>
    <row r="4" spans="1:12" ht="15.75" thickBot="1" x14ac:dyDescent="0.3">
      <c r="A4" s="32" t="s">
        <v>26</v>
      </c>
      <c r="B4" s="31">
        <v>2</v>
      </c>
      <c r="C4" s="32" t="s">
        <v>25</v>
      </c>
      <c r="D4" s="33">
        <v>98</v>
      </c>
      <c r="E4" s="32" t="s">
        <v>26</v>
      </c>
      <c r="F4" s="33" t="s">
        <v>27</v>
      </c>
      <c r="G4" s="34">
        <v>1</v>
      </c>
      <c r="H4" s="33" t="s">
        <v>262</v>
      </c>
      <c r="I4" s="32"/>
      <c r="J4" s="33" t="s">
        <v>175</v>
      </c>
      <c r="L4" s="32" t="s">
        <v>23</v>
      </c>
    </row>
    <row r="5" spans="1:12" ht="15.75" thickBot="1" x14ac:dyDescent="0.3">
      <c r="A5" s="158" t="s">
        <v>78</v>
      </c>
      <c r="B5" s="159">
        <v>3</v>
      </c>
      <c r="C5" s="158" t="s">
        <v>77</v>
      </c>
      <c r="D5" s="157">
        <v>25</v>
      </c>
      <c r="E5" s="158" t="s">
        <v>78</v>
      </c>
      <c r="F5" s="157" t="s">
        <v>79</v>
      </c>
      <c r="G5" s="160">
        <v>1</v>
      </c>
      <c r="H5" s="157" t="s">
        <v>263</v>
      </c>
      <c r="I5" s="158"/>
      <c r="J5" s="157" t="s">
        <v>175</v>
      </c>
      <c r="L5" s="177" t="s">
        <v>76</v>
      </c>
    </row>
    <row r="6" spans="1:12" ht="15.75" thickBot="1" x14ac:dyDescent="0.3">
      <c r="A6" s="32" t="s">
        <v>42</v>
      </c>
      <c r="B6" s="31">
        <v>4</v>
      </c>
      <c r="C6" s="32" t="s">
        <v>41</v>
      </c>
      <c r="D6" s="33">
        <v>285</v>
      </c>
      <c r="E6" s="32" t="s">
        <v>42</v>
      </c>
      <c r="F6" s="33" t="s">
        <v>43</v>
      </c>
      <c r="G6" s="34">
        <v>1</v>
      </c>
      <c r="H6" s="33" t="s">
        <v>264</v>
      </c>
      <c r="I6" s="32"/>
      <c r="J6" s="33" t="s">
        <v>175</v>
      </c>
      <c r="L6" s="32" t="s">
        <v>40</v>
      </c>
    </row>
    <row r="7" spans="1:12" ht="15.75" thickBot="1" x14ac:dyDescent="0.3">
      <c r="A7" s="158" t="s">
        <v>46</v>
      </c>
      <c r="B7" s="159">
        <v>5</v>
      </c>
      <c r="C7" s="158" t="s">
        <v>45</v>
      </c>
      <c r="D7" s="157">
        <v>194</v>
      </c>
      <c r="E7" s="158" t="s">
        <v>46</v>
      </c>
      <c r="F7" s="157" t="s">
        <v>47</v>
      </c>
      <c r="G7" s="160">
        <v>1</v>
      </c>
      <c r="H7" s="157" t="s">
        <v>265</v>
      </c>
      <c r="I7" s="158"/>
      <c r="J7" s="157" t="s">
        <v>175</v>
      </c>
      <c r="L7" s="177" t="s">
        <v>44</v>
      </c>
    </row>
    <row r="8" spans="1:12" ht="15.75" thickBot="1" x14ac:dyDescent="0.3">
      <c r="A8" s="32" t="s">
        <v>50</v>
      </c>
      <c r="B8" s="31">
        <v>6</v>
      </c>
      <c r="C8" s="32" t="s">
        <v>49</v>
      </c>
      <c r="D8" s="33">
        <v>148</v>
      </c>
      <c r="E8" s="32" t="s">
        <v>50</v>
      </c>
      <c r="F8" s="33" t="s">
        <v>51</v>
      </c>
      <c r="G8" s="34">
        <v>1</v>
      </c>
      <c r="H8" s="33" t="s">
        <v>266</v>
      </c>
      <c r="I8" s="32"/>
      <c r="J8" s="33" t="s">
        <v>175</v>
      </c>
      <c r="L8" s="32" t="s">
        <v>48</v>
      </c>
    </row>
    <row r="9" spans="1:12" ht="15.75" thickBot="1" x14ac:dyDescent="0.3">
      <c r="A9" s="158" t="s">
        <v>54</v>
      </c>
      <c r="B9" s="159">
        <v>7</v>
      </c>
      <c r="C9" s="158" t="s">
        <v>53</v>
      </c>
      <c r="D9" s="157">
        <v>80</v>
      </c>
      <c r="E9" s="158" t="s">
        <v>54</v>
      </c>
      <c r="F9" s="157" t="s">
        <v>55</v>
      </c>
      <c r="G9" s="160">
        <v>1</v>
      </c>
      <c r="H9" s="157" t="s">
        <v>267</v>
      </c>
      <c r="I9" s="158"/>
      <c r="J9" s="157" t="s">
        <v>175</v>
      </c>
      <c r="L9" s="177" t="s">
        <v>52</v>
      </c>
    </row>
    <row r="10" spans="1:12" ht="15.75" thickBot="1" x14ac:dyDescent="0.3">
      <c r="A10" s="32" t="s">
        <v>57</v>
      </c>
      <c r="B10" s="31">
        <v>8</v>
      </c>
      <c r="C10" s="32" t="s">
        <v>56</v>
      </c>
      <c r="D10" s="33">
        <v>216</v>
      </c>
      <c r="E10" s="32" t="s">
        <v>57</v>
      </c>
      <c r="F10" s="33" t="s">
        <v>58</v>
      </c>
      <c r="G10" s="34">
        <v>1</v>
      </c>
      <c r="H10" s="33" t="s">
        <v>268</v>
      </c>
      <c r="I10" s="32"/>
      <c r="J10" s="33" t="s">
        <v>175</v>
      </c>
      <c r="L10" s="32" t="s">
        <v>176</v>
      </c>
    </row>
    <row r="11" spans="1:12" ht="15.75" thickBot="1" x14ac:dyDescent="0.3">
      <c r="A11" s="158" t="s">
        <v>61</v>
      </c>
      <c r="B11" s="159">
        <v>9</v>
      </c>
      <c r="C11" s="158" t="s">
        <v>60</v>
      </c>
      <c r="D11" s="157">
        <v>160</v>
      </c>
      <c r="E11" s="158" t="s">
        <v>61</v>
      </c>
      <c r="F11" s="157" t="s">
        <v>62</v>
      </c>
      <c r="G11" s="160">
        <v>1</v>
      </c>
      <c r="H11" s="157" t="s">
        <v>269</v>
      </c>
      <c r="I11" s="158"/>
      <c r="J11" s="157" t="s">
        <v>175</v>
      </c>
      <c r="L11" s="177" t="s">
        <v>59</v>
      </c>
    </row>
    <row r="12" spans="1:12" ht="15.75" thickBot="1" x14ac:dyDescent="0.3">
      <c r="A12" s="32" t="s">
        <v>160</v>
      </c>
      <c r="B12" s="31">
        <v>10</v>
      </c>
      <c r="C12" s="32" t="s">
        <v>159</v>
      </c>
      <c r="D12" s="33">
        <v>302</v>
      </c>
      <c r="E12" s="32" t="s">
        <v>160</v>
      </c>
      <c r="F12" s="33" t="s">
        <v>161</v>
      </c>
      <c r="G12" s="34">
        <v>1</v>
      </c>
      <c r="H12" s="33" t="s">
        <v>270</v>
      </c>
      <c r="I12" s="32"/>
      <c r="J12" s="33" t="s">
        <v>178</v>
      </c>
      <c r="L12" s="32" t="s">
        <v>177</v>
      </c>
    </row>
    <row r="13" spans="1:12" ht="15.75" thickBot="1" x14ac:dyDescent="0.3">
      <c r="A13" s="239" t="s">
        <v>163</v>
      </c>
      <c r="B13" s="240">
        <v>11</v>
      </c>
      <c r="C13" s="239" t="s">
        <v>162</v>
      </c>
      <c r="D13" s="241">
        <v>69</v>
      </c>
      <c r="E13" s="239" t="s">
        <v>163</v>
      </c>
      <c r="F13" s="238" t="s">
        <v>164</v>
      </c>
      <c r="G13" s="242">
        <v>1</v>
      </c>
      <c r="H13" s="238" t="s">
        <v>271</v>
      </c>
      <c r="I13" s="158"/>
      <c r="J13" s="238" t="s">
        <v>175</v>
      </c>
      <c r="L13" s="177" t="s">
        <v>179</v>
      </c>
    </row>
    <row r="14" spans="1:12" ht="15.75" thickBot="1" x14ac:dyDescent="0.3">
      <c r="A14" s="239"/>
      <c r="B14" s="240"/>
      <c r="C14" s="239"/>
      <c r="D14" s="241"/>
      <c r="E14" s="239"/>
      <c r="F14" s="238"/>
      <c r="G14" s="242">
        <v>1</v>
      </c>
      <c r="H14" s="238" t="s">
        <v>180</v>
      </c>
      <c r="I14" s="158"/>
      <c r="J14" s="238"/>
      <c r="L14" s="177" t="s">
        <v>181</v>
      </c>
    </row>
    <row r="15" spans="1:12" ht="15.75" thickBot="1" x14ac:dyDescent="0.3">
      <c r="A15" s="239"/>
      <c r="B15" s="240"/>
      <c r="C15" s="239"/>
      <c r="D15" s="241"/>
      <c r="E15" s="239"/>
      <c r="F15" s="238"/>
      <c r="G15" s="242">
        <v>1</v>
      </c>
      <c r="H15" s="238" t="s">
        <v>182</v>
      </c>
      <c r="I15" s="158"/>
      <c r="J15" s="238"/>
      <c r="L15" s="177" t="s">
        <v>183</v>
      </c>
    </row>
    <row r="16" spans="1:12" ht="15.75" thickBot="1" x14ac:dyDescent="0.3">
      <c r="A16" s="239"/>
      <c r="B16" s="240"/>
      <c r="C16" s="239"/>
      <c r="D16" s="241"/>
      <c r="E16" s="239"/>
      <c r="F16" s="238"/>
      <c r="G16" s="242">
        <v>1</v>
      </c>
      <c r="H16" s="238" t="s">
        <v>184</v>
      </c>
      <c r="I16" s="158"/>
      <c r="J16" s="238"/>
      <c r="L16" s="177" t="s">
        <v>185</v>
      </c>
    </row>
    <row r="17" spans="1:12" ht="15.75" thickBot="1" x14ac:dyDescent="0.3">
      <c r="A17" s="239"/>
      <c r="B17" s="240"/>
      <c r="C17" s="239"/>
      <c r="D17" s="241"/>
      <c r="E17" s="239"/>
      <c r="F17" s="238"/>
      <c r="G17" s="242">
        <v>1</v>
      </c>
      <c r="H17" s="238" t="s">
        <v>186</v>
      </c>
      <c r="I17" s="158"/>
      <c r="J17" s="238"/>
      <c r="L17" s="177" t="s">
        <v>187</v>
      </c>
    </row>
    <row r="18" spans="1:12" ht="15.75" thickBot="1" x14ac:dyDescent="0.3">
      <c r="A18" s="239"/>
      <c r="B18" s="240"/>
      <c r="C18" s="239"/>
      <c r="D18" s="241"/>
      <c r="E18" s="239"/>
      <c r="F18" s="238"/>
      <c r="G18" s="242">
        <v>1</v>
      </c>
      <c r="H18" s="238" t="s">
        <v>188</v>
      </c>
      <c r="I18" s="158"/>
      <c r="J18" s="238"/>
      <c r="L18" s="177" t="s">
        <v>189</v>
      </c>
    </row>
    <row r="19" spans="1:12" ht="15.75" thickBot="1" x14ac:dyDescent="0.3">
      <c r="A19" s="239"/>
      <c r="B19" s="240"/>
      <c r="C19" s="239"/>
      <c r="D19" s="241"/>
      <c r="E19" s="239"/>
      <c r="F19" s="238"/>
      <c r="G19" s="242">
        <v>1</v>
      </c>
      <c r="H19" s="238" t="s">
        <v>190</v>
      </c>
      <c r="I19" s="158"/>
      <c r="J19" s="238"/>
      <c r="L19" s="177" t="s">
        <v>191</v>
      </c>
    </row>
    <row r="20" spans="1:12" ht="15.75" thickBot="1" x14ac:dyDescent="0.3">
      <c r="A20" s="32" t="s">
        <v>33</v>
      </c>
      <c r="B20" s="31">
        <v>12</v>
      </c>
      <c r="C20" s="32" t="s">
        <v>32</v>
      </c>
      <c r="D20" s="33">
        <v>256</v>
      </c>
      <c r="E20" s="32" t="s">
        <v>33</v>
      </c>
      <c r="F20" s="33" t="s">
        <v>34</v>
      </c>
      <c r="G20" s="34">
        <v>1</v>
      </c>
      <c r="H20" s="33" t="s">
        <v>272</v>
      </c>
      <c r="I20" s="32"/>
      <c r="J20" s="33" t="s">
        <v>175</v>
      </c>
      <c r="L20" s="32" t="s">
        <v>31</v>
      </c>
    </row>
    <row r="21" spans="1:12" ht="15.75" thickBot="1" x14ac:dyDescent="0.3">
      <c r="A21" s="158" t="s">
        <v>192</v>
      </c>
      <c r="B21" s="159">
        <v>13</v>
      </c>
      <c r="C21" s="158"/>
      <c r="D21" s="157"/>
      <c r="E21" s="158" t="s">
        <v>192</v>
      </c>
      <c r="F21" s="157"/>
      <c r="G21" s="160"/>
      <c r="H21" s="157"/>
      <c r="I21" s="158"/>
      <c r="J21" s="157"/>
      <c r="L21" s="177"/>
    </row>
    <row r="22" spans="1:12" ht="15.75" thickBot="1" x14ac:dyDescent="0.3">
      <c r="A22" s="32" t="s">
        <v>193</v>
      </c>
      <c r="B22" s="31">
        <v>14</v>
      </c>
      <c r="C22" s="32"/>
      <c r="D22" s="33"/>
      <c r="E22" s="32" t="s">
        <v>193</v>
      </c>
      <c r="F22" s="33"/>
      <c r="G22" s="34"/>
      <c r="H22" s="33"/>
      <c r="I22" s="32"/>
      <c r="J22" s="33"/>
      <c r="L22" s="32"/>
    </row>
    <row r="23" spans="1:12" ht="15.75" thickBot="1" x14ac:dyDescent="0.3">
      <c r="A23" s="158" t="s">
        <v>37</v>
      </c>
      <c r="B23" s="159">
        <v>15</v>
      </c>
      <c r="C23" s="158" t="s">
        <v>36</v>
      </c>
      <c r="D23" s="157">
        <v>49</v>
      </c>
      <c r="E23" s="158" t="s">
        <v>37</v>
      </c>
      <c r="F23" s="157" t="s">
        <v>38</v>
      </c>
      <c r="G23" s="160">
        <v>1</v>
      </c>
      <c r="H23" s="157" t="s">
        <v>35</v>
      </c>
      <c r="I23" s="158"/>
      <c r="J23" s="157"/>
      <c r="L23" s="177"/>
    </row>
    <row r="24" spans="1:12" ht="15.75" thickBot="1" x14ac:dyDescent="0.3">
      <c r="A24" s="32" t="s">
        <v>146</v>
      </c>
      <c r="B24" s="31">
        <v>16</v>
      </c>
      <c r="C24" s="32" t="s">
        <v>145</v>
      </c>
      <c r="D24" s="33">
        <v>38</v>
      </c>
      <c r="E24" s="32" t="s">
        <v>146</v>
      </c>
      <c r="F24" s="33" t="s">
        <v>147</v>
      </c>
      <c r="G24" s="34">
        <v>1</v>
      </c>
      <c r="H24" s="33" t="s">
        <v>148</v>
      </c>
      <c r="I24" s="32"/>
      <c r="J24" s="33" t="s">
        <v>175</v>
      </c>
      <c r="L24" s="32" t="s">
        <v>194</v>
      </c>
    </row>
    <row r="25" spans="1:12" ht="15.75" thickBot="1" x14ac:dyDescent="0.3">
      <c r="A25" s="158" t="s">
        <v>140</v>
      </c>
      <c r="B25" s="159">
        <v>17</v>
      </c>
      <c r="C25" s="158" t="s">
        <v>139</v>
      </c>
      <c r="D25" s="157">
        <v>79</v>
      </c>
      <c r="E25" s="158" t="s">
        <v>140</v>
      </c>
      <c r="F25" s="157" t="s">
        <v>141</v>
      </c>
      <c r="G25" s="160">
        <v>1</v>
      </c>
      <c r="H25" s="157" t="s">
        <v>273</v>
      </c>
      <c r="I25" s="158"/>
      <c r="J25" s="157" t="s">
        <v>175</v>
      </c>
      <c r="L25" s="177" t="s">
        <v>195</v>
      </c>
    </row>
    <row r="26" spans="1:12" ht="15.75" thickBot="1" x14ac:dyDescent="0.3">
      <c r="A26" s="163" t="s">
        <v>71</v>
      </c>
      <c r="B26" s="165">
        <v>18</v>
      </c>
      <c r="C26" s="163" t="s">
        <v>70</v>
      </c>
      <c r="D26" s="166">
        <v>82</v>
      </c>
      <c r="E26" s="163" t="s">
        <v>71</v>
      </c>
      <c r="F26" s="164" t="s">
        <v>72</v>
      </c>
      <c r="G26" s="167">
        <v>1</v>
      </c>
      <c r="H26" s="164" t="s">
        <v>196</v>
      </c>
      <c r="I26" s="163"/>
      <c r="J26" s="164" t="s">
        <v>175</v>
      </c>
      <c r="L26" s="163" t="s">
        <v>69</v>
      </c>
    </row>
    <row r="27" spans="1:12" ht="15.75" thickBot="1" x14ac:dyDescent="0.3">
      <c r="A27" s="40" t="s">
        <v>82</v>
      </c>
      <c r="B27" s="39">
        <v>19</v>
      </c>
      <c r="C27" s="40" t="s">
        <v>81</v>
      </c>
      <c r="D27" s="161">
        <v>50</v>
      </c>
      <c r="E27" s="40" t="s">
        <v>82</v>
      </c>
      <c r="F27" s="41" t="s">
        <v>83</v>
      </c>
      <c r="G27" s="42">
        <v>1</v>
      </c>
      <c r="H27" s="140" t="s">
        <v>197</v>
      </c>
      <c r="I27" s="40"/>
      <c r="J27" s="41" t="s">
        <v>175</v>
      </c>
      <c r="L27" s="40" t="s">
        <v>80</v>
      </c>
    </row>
    <row r="28" spans="1:12" ht="15.75" thickBot="1" x14ac:dyDescent="0.3">
      <c r="A28" s="36" t="s">
        <v>87</v>
      </c>
      <c r="B28" s="35">
        <v>20</v>
      </c>
      <c r="C28" s="36" t="s">
        <v>86</v>
      </c>
      <c r="D28" s="161">
        <v>99.99</v>
      </c>
      <c r="E28" s="36" t="s">
        <v>87</v>
      </c>
      <c r="F28" s="37" t="s">
        <v>88</v>
      </c>
      <c r="G28" s="38">
        <v>1</v>
      </c>
      <c r="H28" s="140" t="s">
        <v>84</v>
      </c>
      <c r="I28" s="36"/>
      <c r="J28" s="37" t="s">
        <v>175</v>
      </c>
      <c r="L28" s="36" t="s">
        <v>85</v>
      </c>
    </row>
    <row r="29" spans="1:12" ht="15.75" thickBot="1" x14ac:dyDescent="0.3">
      <c r="A29" s="40" t="s">
        <v>92</v>
      </c>
      <c r="B29" s="39">
        <v>21</v>
      </c>
      <c r="C29" s="40" t="s">
        <v>91</v>
      </c>
      <c r="D29" s="161">
        <v>99.99</v>
      </c>
      <c r="E29" s="40" t="s">
        <v>92</v>
      </c>
      <c r="F29" s="41" t="s">
        <v>93</v>
      </c>
      <c r="G29" s="42">
        <v>1</v>
      </c>
      <c r="H29" s="140" t="s">
        <v>89</v>
      </c>
      <c r="I29" s="40"/>
      <c r="J29" s="41" t="s">
        <v>175</v>
      </c>
      <c r="L29" s="40" t="s">
        <v>90</v>
      </c>
    </row>
    <row r="30" spans="1:12" ht="15.75" thickBot="1" x14ac:dyDescent="0.3">
      <c r="A30" s="36" t="s">
        <v>97</v>
      </c>
      <c r="B30" s="35">
        <v>22</v>
      </c>
      <c r="C30" s="36" t="s">
        <v>96</v>
      </c>
      <c r="D30" s="161">
        <v>99.99</v>
      </c>
      <c r="E30" s="36" t="s">
        <v>97</v>
      </c>
      <c r="F30" s="37" t="s">
        <v>98</v>
      </c>
      <c r="G30" s="38">
        <v>1</v>
      </c>
      <c r="H30" s="140" t="s">
        <v>94</v>
      </c>
      <c r="I30" s="36"/>
      <c r="J30" s="37" t="s">
        <v>175</v>
      </c>
      <c r="L30" s="36" t="s">
        <v>95</v>
      </c>
    </row>
    <row r="31" spans="1:12" ht="15.75" thickBot="1" x14ac:dyDescent="0.3">
      <c r="A31" s="40" t="s">
        <v>101</v>
      </c>
      <c r="B31" s="39">
        <v>23</v>
      </c>
      <c r="C31" s="40" t="s">
        <v>100</v>
      </c>
      <c r="D31" s="161">
        <v>99.99</v>
      </c>
      <c r="E31" s="40" t="s">
        <v>101</v>
      </c>
      <c r="F31" s="41" t="s">
        <v>102</v>
      </c>
      <c r="G31" s="42">
        <v>1</v>
      </c>
      <c r="H31" s="140" t="s">
        <v>99</v>
      </c>
      <c r="I31" s="40"/>
      <c r="J31" s="41" t="s">
        <v>175</v>
      </c>
      <c r="L31" s="40" t="s">
        <v>445</v>
      </c>
    </row>
    <row r="32" spans="1:12" ht="15.75" thickBot="1" x14ac:dyDescent="0.3">
      <c r="A32" s="36" t="s">
        <v>105</v>
      </c>
      <c r="B32" s="35">
        <v>24</v>
      </c>
      <c r="C32" s="36" t="s">
        <v>104</v>
      </c>
      <c r="D32" s="161">
        <v>99.99</v>
      </c>
      <c r="E32" s="36" t="s">
        <v>105</v>
      </c>
      <c r="F32" s="37" t="s">
        <v>106</v>
      </c>
      <c r="G32" s="38">
        <v>1</v>
      </c>
      <c r="H32" s="140" t="s">
        <v>198</v>
      </c>
      <c r="I32" s="36"/>
      <c r="J32" s="37" t="s">
        <v>175</v>
      </c>
      <c r="L32" s="36" t="s">
        <v>103</v>
      </c>
    </row>
    <row r="33" spans="1:12" ht="15.75" thickBot="1" x14ac:dyDescent="0.3">
      <c r="A33" s="40" t="s">
        <v>110</v>
      </c>
      <c r="B33" s="39">
        <v>25</v>
      </c>
      <c r="C33" s="40" t="s">
        <v>109</v>
      </c>
      <c r="D33" s="161">
        <v>99</v>
      </c>
      <c r="E33" s="40" t="s">
        <v>110</v>
      </c>
      <c r="F33" s="41" t="s">
        <v>111</v>
      </c>
      <c r="G33" s="42">
        <v>1</v>
      </c>
      <c r="H33" s="140" t="s">
        <v>107</v>
      </c>
      <c r="I33" s="40"/>
      <c r="J33" s="41" t="s">
        <v>175</v>
      </c>
      <c r="L33" s="40" t="s">
        <v>108</v>
      </c>
    </row>
    <row r="34" spans="1:12" ht="15.75" thickBot="1" x14ac:dyDescent="0.3">
      <c r="A34" s="163" t="s">
        <v>120</v>
      </c>
      <c r="B34" s="165">
        <v>26</v>
      </c>
      <c r="C34" s="163" t="s">
        <v>168</v>
      </c>
      <c r="D34" s="166">
        <v>2</v>
      </c>
      <c r="E34" s="163" t="s">
        <v>120</v>
      </c>
      <c r="F34" s="164" t="s">
        <v>169</v>
      </c>
      <c r="G34" s="167">
        <v>1</v>
      </c>
      <c r="H34" s="164" t="s">
        <v>274</v>
      </c>
      <c r="I34" s="163"/>
      <c r="J34" s="164"/>
      <c r="L34" s="163"/>
    </row>
    <row r="35" spans="1:12" ht="15.75" thickBot="1" x14ac:dyDescent="0.3">
      <c r="A35" s="163" t="s">
        <v>132</v>
      </c>
      <c r="B35" s="165">
        <v>27</v>
      </c>
      <c r="C35" s="163" t="s">
        <v>119</v>
      </c>
      <c r="D35" s="166">
        <v>99.99</v>
      </c>
      <c r="E35" s="163" t="s">
        <v>132</v>
      </c>
      <c r="F35" s="164" t="s">
        <v>121</v>
      </c>
      <c r="G35" s="167">
        <v>1</v>
      </c>
      <c r="H35" s="168" t="s">
        <v>446</v>
      </c>
      <c r="I35" s="163"/>
      <c r="J35" s="164" t="s">
        <v>175</v>
      </c>
      <c r="L35" s="163" t="s">
        <v>447</v>
      </c>
    </row>
    <row r="36" spans="1:12" ht="15.75" thickBot="1" x14ac:dyDescent="0.3">
      <c r="A36" s="163" t="s">
        <v>199</v>
      </c>
      <c r="B36" s="165">
        <v>28</v>
      </c>
      <c r="C36" s="163" t="s">
        <v>131</v>
      </c>
      <c r="D36" s="166">
        <v>99.99</v>
      </c>
      <c r="E36" s="163" t="s">
        <v>199</v>
      </c>
      <c r="F36" s="164" t="s">
        <v>133</v>
      </c>
      <c r="G36" s="167">
        <v>1</v>
      </c>
      <c r="H36" s="164" t="s">
        <v>448</v>
      </c>
      <c r="I36" s="163"/>
      <c r="J36" s="164" t="s">
        <v>175</v>
      </c>
      <c r="L36" s="163" t="s">
        <v>449</v>
      </c>
    </row>
    <row r="37" spans="1:12" ht="15.75" thickBot="1" x14ac:dyDescent="0.3">
      <c r="A37" s="40" t="s">
        <v>200</v>
      </c>
      <c r="B37" s="39">
        <v>29</v>
      </c>
      <c r="C37" s="40" t="s">
        <v>450</v>
      </c>
      <c r="D37" s="161">
        <v>80</v>
      </c>
      <c r="E37" s="40" t="s">
        <v>200</v>
      </c>
      <c r="F37" s="41" t="s">
        <v>451</v>
      </c>
      <c r="G37" s="42">
        <v>1</v>
      </c>
      <c r="H37" s="162" t="s">
        <v>452</v>
      </c>
      <c r="I37" s="40"/>
      <c r="J37" s="41" t="s">
        <v>175</v>
      </c>
      <c r="L37" s="40" t="s">
        <v>453</v>
      </c>
    </row>
    <row r="38" spans="1:12" ht="15.75" thickBot="1" x14ac:dyDescent="0.3">
      <c r="A38" s="36" t="s">
        <v>201</v>
      </c>
      <c r="B38" s="35">
        <v>30</v>
      </c>
      <c r="C38" s="36" t="s">
        <v>454</v>
      </c>
      <c r="D38" s="161">
        <v>120</v>
      </c>
      <c r="E38" s="36" t="s">
        <v>201</v>
      </c>
      <c r="F38" s="37" t="s">
        <v>455</v>
      </c>
      <c r="G38" s="38">
        <v>1</v>
      </c>
      <c r="H38" s="37" t="s">
        <v>456</v>
      </c>
      <c r="I38" s="36"/>
      <c r="J38" s="37" t="s">
        <v>175</v>
      </c>
      <c r="L38" s="36" t="s">
        <v>457</v>
      </c>
    </row>
    <row r="39" spans="1:12" ht="15.75" thickBot="1" x14ac:dyDescent="0.3">
      <c r="A39" s="40" t="s">
        <v>202</v>
      </c>
      <c r="B39" s="39">
        <v>31</v>
      </c>
      <c r="C39" s="40" t="s">
        <v>458</v>
      </c>
      <c r="D39" s="161">
        <v>50</v>
      </c>
      <c r="E39" s="40" t="s">
        <v>202</v>
      </c>
      <c r="F39" s="41" t="s">
        <v>459</v>
      </c>
      <c r="G39" s="42">
        <v>1</v>
      </c>
      <c r="H39" s="162" t="s">
        <v>460</v>
      </c>
      <c r="I39" s="40"/>
      <c r="J39" s="41" t="s">
        <v>175</v>
      </c>
      <c r="L39" s="40" t="s">
        <v>461</v>
      </c>
    </row>
    <row r="40" spans="1:12" ht="15.75" thickBot="1" x14ac:dyDescent="0.3">
      <c r="A40" s="36" t="s">
        <v>203</v>
      </c>
      <c r="B40" s="35">
        <v>32</v>
      </c>
      <c r="C40" s="36" t="s">
        <v>462</v>
      </c>
      <c r="D40" s="161">
        <v>80</v>
      </c>
      <c r="E40" s="36" t="s">
        <v>203</v>
      </c>
      <c r="F40" s="37" t="s">
        <v>463</v>
      </c>
      <c r="G40" s="38">
        <v>1</v>
      </c>
      <c r="H40" s="37" t="s">
        <v>464</v>
      </c>
      <c r="I40" s="36"/>
      <c r="J40" s="37" t="s">
        <v>175</v>
      </c>
      <c r="L40" s="36" t="s">
        <v>465</v>
      </c>
    </row>
    <row r="41" spans="1:12" ht="15.75" thickBot="1" x14ac:dyDescent="0.3">
      <c r="A41" s="40" t="s">
        <v>204</v>
      </c>
      <c r="B41" s="39">
        <v>33</v>
      </c>
      <c r="C41" s="40" t="s">
        <v>466</v>
      </c>
      <c r="D41" s="161">
        <v>100</v>
      </c>
      <c r="E41" s="40" t="s">
        <v>204</v>
      </c>
      <c r="F41" s="41" t="s">
        <v>467</v>
      </c>
      <c r="G41" s="42">
        <v>1</v>
      </c>
      <c r="H41" s="162" t="s">
        <v>468</v>
      </c>
      <c r="I41" s="40"/>
      <c r="J41" s="41" t="s">
        <v>175</v>
      </c>
      <c r="L41" s="40" t="s">
        <v>469</v>
      </c>
    </row>
    <row r="42" spans="1:12" ht="15.75" thickBot="1" x14ac:dyDescent="0.3">
      <c r="A42" s="36" t="s">
        <v>205</v>
      </c>
      <c r="B42" s="35">
        <v>34</v>
      </c>
      <c r="C42" s="36" t="s">
        <v>470</v>
      </c>
      <c r="D42" s="161">
        <v>40</v>
      </c>
      <c r="E42" s="36" t="s">
        <v>205</v>
      </c>
      <c r="F42" s="37" t="s">
        <v>471</v>
      </c>
      <c r="G42" s="38">
        <v>1</v>
      </c>
      <c r="H42" s="37" t="s">
        <v>472</v>
      </c>
      <c r="I42" s="36"/>
      <c r="J42" s="37" t="s">
        <v>175</v>
      </c>
      <c r="L42" s="36" t="s">
        <v>473</v>
      </c>
    </row>
    <row r="43" spans="1:12" ht="15.75" thickBot="1" x14ac:dyDescent="0.3">
      <c r="A43" s="40" t="s">
        <v>206</v>
      </c>
      <c r="B43" s="39">
        <v>35</v>
      </c>
      <c r="C43" s="40" t="s">
        <v>474</v>
      </c>
      <c r="D43" s="161">
        <v>120</v>
      </c>
      <c r="E43" s="40" t="s">
        <v>206</v>
      </c>
      <c r="F43" s="41" t="s">
        <v>475</v>
      </c>
      <c r="G43" s="42">
        <v>1</v>
      </c>
      <c r="H43" s="41" t="s">
        <v>501</v>
      </c>
      <c r="I43" s="40"/>
      <c r="J43" s="41" t="s">
        <v>175</v>
      </c>
      <c r="L43" s="40" t="s">
        <v>476</v>
      </c>
    </row>
    <row r="44" spans="1:12" ht="15.75" thickBot="1" x14ac:dyDescent="0.3">
      <c r="A44" s="36" t="s">
        <v>207</v>
      </c>
      <c r="B44" s="35">
        <v>36</v>
      </c>
      <c r="C44" s="36" t="s">
        <v>477</v>
      </c>
      <c r="D44" s="161">
        <v>150</v>
      </c>
      <c r="E44" s="36" t="s">
        <v>207</v>
      </c>
      <c r="F44" s="37" t="s">
        <v>478</v>
      </c>
      <c r="G44" s="38">
        <v>1</v>
      </c>
      <c r="H44" s="37" t="s">
        <v>496</v>
      </c>
      <c r="I44" s="36"/>
      <c r="J44" s="37" t="s">
        <v>175</v>
      </c>
      <c r="L44" s="36" t="s">
        <v>479</v>
      </c>
    </row>
    <row r="45" spans="1:12" ht="15.75" thickBot="1" x14ac:dyDescent="0.3">
      <c r="A45" s="40" t="s">
        <v>208</v>
      </c>
      <c r="B45" s="39">
        <v>37</v>
      </c>
      <c r="C45" s="40" t="s">
        <v>480</v>
      </c>
      <c r="D45" s="161">
        <v>170</v>
      </c>
      <c r="E45" s="40" t="s">
        <v>208</v>
      </c>
      <c r="F45" s="41" t="s">
        <v>481</v>
      </c>
      <c r="G45" s="42">
        <v>1</v>
      </c>
      <c r="H45" s="41" t="s">
        <v>502</v>
      </c>
      <c r="I45" s="40"/>
      <c r="J45" s="41" t="s">
        <v>175</v>
      </c>
      <c r="L45" s="40" t="s">
        <v>482</v>
      </c>
    </row>
    <row r="46" spans="1:12" ht="15.75" thickBot="1" x14ac:dyDescent="0.3">
      <c r="A46" s="36" t="s">
        <v>209</v>
      </c>
      <c r="B46" s="35">
        <v>38</v>
      </c>
      <c r="C46" s="36"/>
      <c r="D46" s="37"/>
      <c r="E46" s="36" t="s">
        <v>209</v>
      </c>
      <c r="F46" s="37"/>
      <c r="G46" s="38"/>
      <c r="H46" s="37"/>
      <c r="I46" s="36"/>
      <c r="J46" s="37"/>
      <c r="L46" s="36"/>
    </row>
    <row r="47" spans="1:12" ht="15.75" thickBot="1" x14ac:dyDescent="0.3">
      <c r="A47" s="40" t="s">
        <v>210</v>
      </c>
      <c r="B47" s="39">
        <v>39</v>
      </c>
      <c r="C47" s="40"/>
      <c r="D47" s="41"/>
      <c r="E47" s="40" t="s">
        <v>210</v>
      </c>
      <c r="F47" s="41"/>
      <c r="G47" s="42"/>
      <c r="H47" s="41"/>
      <c r="I47" s="40"/>
      <c r="J47" s="41"/>
      <c r="L47" s="40"/>
    </row>
    <row r="48" spans="1:12" ht="15.75" thickBot="1" x14ac:dyDescent="0.3">
      <c r="A48" s="36" t="s">
        <v>211</v>
      </c>
      <c r="B48" s="35">
        <v>40</v>
      </c>
      <c r="C48" s="36"/>
      <c r="D48" s="37"/>
      <c r="E48" s="36" t="s">
        <v>211</v>
      </c>
      <c r="F48" s="37"/>
      <c r="G48" s="38"/>
      <c r="H48" s="37"/>
      <c r="I48" s="36"/>
      <c r="J48" s="37"/>
      <c r="L48" s="36"/>
    </row>
    <row r="49" spans="1:12" ht="15.75" thickBot="1" x14ac:dyDescent="0.3">
      <c r="A49" s="40" t="s">
        <v>212</v>
      </c>
      <c r="B49" s="39">
        <v>41</v>
      </c>
      <c r="C49" s="40"/>
      <c r="D49" s="41"/>
      <c r="E49" s="40" t="s">
        <v>212</v>
      </c>
      <c r="F49" s="41"/>
      <c r="G49" s="42"/>
      <c r="H49" s="41"/>
      <c r="I49" s="40"/>
      <c r="J49" s="41"/>
      <c r="L49" s="40"/>
    </row>
    <row r="50" spans="1:12" ht="15.75" thickBot="1" x14ac:dyDescent="0.3">
      <c r="A50" s="36" t="s">
        <v>213</v>
      </c>
      <c r="B50" s="35">
        <v>42</v>
      </c>
      <c r="C50" s="36"/>
      <c r="D50" s="37"/>
      <c r="E50" s="36" t="s">
        <v>213</v>
      </c>
      <c r="F50" s="37"/>
      <c r="G50" s="38"/>
      <c r="H50" s="37"/>
      <c r="I50" s="36"/>
      <c r="J50" s="37"/>
      <c r="L50" s="36"/>
    </row>
    <row r="51" spans="1:12" ht="15.75" thickBot="1" x14ac:dyDescent="0.3">
      <c r="A51" s="40" t="s">
        <v>214</v>
      </c>
      <c r="B51" s="39">
        <v>43</v>
      </c>
      <c r="C51" s="40"/>
      <c r="D51" s="41"/>
      <c r="E51" s="40" t="s">
        <v>214</v>
      </c>
      <c r="F51" s="41"/>
      <c r="G51" s="42"/>
      <c r="H51" s="41"/>
      <c r="I51" s="40"/>
      <c r="J51" s="41"/>
      <c r="L51" s="40"/>
    </row>
    <row r="52" spans="1:12" ht="15.75" thickBot="1" x14ac:dyDescent="0.3">
      <c r="A52" s="36" t="s">
        <v>215</v>
      </c>
      <c r="B52" s="35">
        <v>44</v>
      </c>
      <c r="C52" s="36"/>
      <c r="D52" s="37"/>
      <c r="E52" s="36" t="s">
        <v>215</v>
      </c>
      <c r="F52" s="37"/>
      <c r="G52" s="38"/>
      <c r="H52" s="37"/>
      <c r="I52" s="36"/>
      <c r="J52" s="37"/>
      <c r="L52" s="36"/>
    </row>
    <row r="53" spans="1:12" ht="15.75" thickBot="1" x14ac:dyDescent="0.3">
      <c r="A53" s="40" t="s">
        <v>216</v>
      </c>
      <c r="B53" s="39">
        <v>45</v>
      </c>
      <c r="C53" s="40"/>
      <c r="D53" s="41"/>
      <c r="E53" s="40" t="s">
        <v>216</v>
      </c>
      <c r="F53" s="41"/>
      <c r="G53" s="42"/>
      <c r="H53" s="41"/>
      <c r="I53" s="40"/>
      <c r="J53" s="41"/>
      <c r="L53" s="40"/>
    </row>
    <row r="54" spans="1:12" ht="15.75" thickBot="1" x14ac:dyDescent="0.3">
      <c r="A54" s="36" t="s">
        <v>217</v>
      </c>
      <c r="B54" s="35">
        <v>46</v>
      </c>
      <c r="C54" s="36"/>
      <c r="D54" s="37"/>
      <c r="E54" s="36" t="s">
        <v>217</v>
      </c>
      <c r="F54" s="37"/>
      <c r="G54" s="38"/>
      <c r="H54" s="37"/>
      <c r="I54" s="36"/>
      <c r="J54" s="37"/>
      <c r="L54" s="36"/>
    </row>
    <row r="55" spans="1:12" ht="15.75" thickBot="1" x14ac:dyDescent="0.3">
      <c r="A55" s="40" t="s">
        <v>218</v>
      </c>
      <c r="B55" s="39">
        <v>47</v>
      </c>
      <c r="C55" s="40"/>
      <c r="D55" s="41"/>
      <c r="E55" s="40" t="s">
        <v>218</v>
      </c>
      <c r="F55" s="41"/>
      <c r="G55" s="42"/>
      <c r="H55" s="41"/>
      <c r="I55" s="40"/>
      <c r="J55" s="41"/>
      <c r="L55" s="40"/>
    </row>
    <row r="56" spans="1:12" ht="15.75" thickBot="1" x14ac:dyDescent="0.3">
      <c r="A56" s="36" t="s">
        <v>219</v>
      </c>
      <c r="B56" s="35">
        <v>48</v>
      </c>
      <c r="C56" s="36"/>
      <c r="D56" s="37"/>
      <c r="E56" s="36" t="s">
        <v>219</v>
      </c>
      <c r="F56" s="37"/>
      <c r="G56" s="38"/>
      <c r="H56" s="37"/>
      <c r="I56" s="36"/>
      <c r="J56" s="37"/>
      <c r="L56" s="36"/>
    </row>
    <row r="57" spans="1:12" ht="15.75" thickBot="1" x14ac:dyDescent="0.3">
      <c r="A57" s="40" t="s">
        <v>220</v>
      </c>
      <c r="B57" s="39">
        <v>49</v>
      </c>
      <c r="C57" s="40"/>
      <c r="D57" s="41"/>
      <c r="E57" s="40" t="s">
        <v>220</v>
      </c>
      <c r="F57" s="41"/>
      <c r="G57" s="42"/>
      <c r="H57" s="41"/>
      <c r="I57" s="40"/>
      <c r="J57" s="41"/>
      <c r="L57" s="40"/>
    </row>
    <row r="58" spans="1:12" ht="15.75" thickBot="1" x14ac:dyDescent="0.3">
      <c r="A58" s="36" t="s">
        <v>221</v>
      </c>
      <c r="B58" s="35">
        <v>50</v>
      </c>
      <c r="C58" s="36"/>
      <c r="D58" s="37"/>
      <c r="E58" s="36" t="s">
        <v>221</v>
      </c>
      <c r="F58" s="37"/>
      <c r="G58" s="38"/>
      <c r="H58" s="37"/>
      <c r="I58" s="36"/>
      <c r="J58" s="37"/>
      <c r="L58" s="36"/>
    </row>
    <row r="59" spans="1:12" ht="15.75" thickBot="1" x14ac:dyDescent="0.3">
      <c r="A59" s="29" t="s">
        <v>18</v>
      </c>
      <c r="B59" s="29"/>
      <c r="C59" s="29" t="s">
        <v>16</v>
      </c>
      <c r="D59" s="29" t="s">
        <v>17</v>
      </c>
      <c r="E59" s="29" t="s">
        <v>18</v>
      </c>
      <c r="F59" s="29" t="s">
        <v>19</v>
      </c>
      <c r="G59" s="29" t="s">
        <v>170</v>
      </c>
      <c r="H59" s="29" t="s">
        <v>171</v>
      </c>
      <c r="I59" s="29" t="s">
        <v>172</v>
      </c>
      <c r="J59" s="30"/>
      <c r="L59" s="29" t="s">
        <v>172</v>
      </c>
    </row>
    <row r="60" spans="1:12" ht="15.75" thickBot="1" x14ac:dyDescent="0.3">
      <c r="A60" s="142" t="s">
        <v>276</v>
      </c>
      <c r="B60" s="143">
        <v>1</v>
      </c>
      <c r="C60" s="144" t="s">
        <v>277</v>
      </c>
      <c r="D60" s="145">
        <v>2088</v>
      </c>
      <c r="E60" s="142" t="s">
        <v>276</v>
      </c>
      <c r="F60" s="142" t="s">
        <v>278</v>
      </c>
      <c r="G60" s="143">
        <v>1</v>
      </c>
      <c r="H60" s="142" t="s">
        <v>279</v>
      </c>
      <c r="I60" s="178" t="s">
        <v>589</v>
      </c>
      <c r="J60" s="33"/>
      <c r="L60" s="146" t="s">
        <v>174</v>
      </c>
    </row>
    <row r="61" spans="1:12" ht="15.75" customHeight="1" thickBot="1" x14ac:dyDescent="0.3">
      <c r="A61" s="243" t="s">
        <v>280</v>
      </c>
      <c r="B61" s="244">
        <v>2</v>
      </c>
      <c r="C61" s="243" t="s">
        <v>281</v>
      </c>
      <c r="D61" s="247">
        <v>590</v>
      </c>
      <c r="E61" s="243" t="s">
        <v>280</v>
      </c>
      <c r="F61" s="243" t="s">
        <v>282</v>
      </c>
      <c r="G61" s="143">
        <v>1</v>
      </c>
      <c r="H61" s="243" t="s">
        <v>618</v>
      </c>
      <c r="I61" s="178" t="s">
        <v>571</v>
      </c>
      <c r="J61" s="30"/>
      <c r="L61" s="142" t="s">
        <v>283</v>
      </c>
    </row>
    <row r="62" spans="1:12" ht="15.75" thickBot="1" x14ac:dyDescent="0.3">
      <c r="A62" s="243"/>
      <c r="B62" s="246"/>
      <c r="C62" s="243"/>
      <c r="D62" s="249"/>
      <c r="E62" s="243"/>
      <c r="F62" s="243"/>
      <c r="G62" s="143">
        <v>1</v>
      </c>
      <c r="H62" s="243"/>
      <c r="J62" s="33"/>
      <c r="L62" s="142" t="s">
        <v>284</v>
      </c>
    </row>
    <row r="63" spans="1:12" ht="15.75" thickBot="1" x14ac:dyDescent="0.3">
      <c r="A63" s="142" t="s">
        <v>285</v>
      </c>
      <c r="B63" s="143">
        <v>3</v>
      </c>
      <c r="C63" s="142" t="s">
        <v>25</v>
      </c>
      <c r="D63" s="145">
        <v>99</v>
      </c>
      <c r="E63" s="142" t="s">
        <v>285</v>
      </c>
      <c r="F63" s="142" t="s">
        <v>286</v>
      </c>
      <c r="G63" s="143">
        <v>1</v>
      </c>
      <c r="H63" s="142" t="s">
        <v>287</v>
      </c>
      <c r="I63" s="178" t="s">
        <v>572</v>
      </c>
      <c r="J63" s="30"/>
      <c r="L63" s="142" t="s">
        <v>288</v>
      </c>
    </row>
    <row r="64" spans="1:12" ht="15.75" thickBot="1" x14ac:dyDescent="0.3">
      <c r="A64" s="142" t="s">
        <v>289</v>
      </c>
      <c r="B64" s="143">
        <v>4</v>
      </c>
      <c r="C64" s="142" t="s">
        <v>77</v>
      </c>
      <c r="D64" s="145">
        <v>26</v>
      </c>
      <c r="E64" s="142" t="s">
        <v>289</v>
      </c>
      <c r="F64" s="142" t="s">
        <v>290</v>
      </c>
      <c r="G64" s="143">
        <v>1</v>
      </c>
      <c r="H64" s="142" t="s">
        <v>263</v>
      </c>
      <c r="I64" s="178" t="s">
        <v>573</v>
      </c>
      <c r="J64" s="33"/>
      <c r="L64" s="142" t="s">
        <v>76</v>
      </c>
    </row>
    <row r="65" spans="1:12" ht="15.75" thickBot="1" x14ac:dyDescent="0.3">
      <c r="A65" s="142" t="s">
        <v>291</v>
      </c>
      <c r="B65" s="143">
        <v>5</v>
      </c>
      <c r="C65" s="142" t="s">
        <v>49</v>
      </c>
      <c r="D65" s="145">
        <v>226</v>
      </c>
      <c r="E65" s="142" t="s">
        <v>291</v>
      </c>
      <c r="F65" s="142" t="s">
        <v>292</v>
      </c>
      <c r="G65" s="143">
        <v>1</v>
      </c>
      <c r="H65" s="142" t="s">
        <v>620</v>
      </c>
      <c r="I65" s="178" t="s">
        <v>574</v>
      </c>
      <c r="J65" s="30"/>
      <c r="L65" s="142" t="s">
        <v>621</v>
      </c>
    </row>
    <row r="66" spans="1:12" ht="15.75" thickBot="1" x14ac:dyDescent="0.3">
      <c r="A66" s="142" t="s">
        <v>293</v>
      </c>
      <c r="B66" s="143">
        <v>6</v>
      </c>
      <c r="C66" s="142" t="s">
        <v>53</v>
      </c>
      <c r="D66" s="145">
        <v>141</v>
      </c>
      <c r="E66" s="142" t="s">
        <v>293</v>
      </c>
      <c r="F66" s="142" t="s">
        <v>294</v>
      </c>
      <c r="G66" s="143">
        <v>1</v>
      </c>
      <c r="H66" s="142" t="s">
        <v>295</v>
      </c>
      <c r="I66" s="178" t="s">
        <v>575</v>
      </c>
      <c r="J66" s="33"/>
      <c r="L66" s="142" t="s">
        <v>296</v>
      </c>
    </row>
    <row r="67" spans="1:12" ht="15.75" thickBot="1" x14ac:dyDescent="0.3">
      <c r="A67" s="142" t="s">
        <v>297</v>
      </c>
      <c r="B67" s="143">
        <v>7</v>
      </c>
      <c r="C67" s="142" t="s">
        <v>298</v>
      </c>
      <c r="D67" s="145">
        <v>92</v>
      </c>
      <c r="E67" s="142" t="s">
        <v>297</v>
      </c>
      <c r="F67" s="142" t="s">
        <v>299</v>
      </c>
      <c r="G67" s="143">
        <v>1</v>
      </c>
      <c r="H67" s="142" t="s">
        <v>300</v>
      </c>
      <c r="I67" s="178" t="s">
        <v>576</v>
      </c>
      <c r="J67" s="30"/>
      <c r="L67" s="142" t="s">
        <v>301</v>
      </c>
    </row>
    <row r="68" spans="1:12" ht="15.75" thickBot="1" x14ac:dyDescent="0.3">
      <c r="A68" s="142" t="s">
        <v>302</v>
      </c>
      <c r="B68" s="143">
        <v>8</v>
      </c>
      <c r="C68" s="142" t="s">
        <v>56</v>
      </c>
      <c r="D68" s="145">
        <v>727</v>
      </c>
      <c r="E68" s="142" t="s">
        <v>302</v>
      </c>
      <c r="F68" s="142" t="s">
        <v>631</v>
      </c>
      <c r="G68" s="143">
        <v>1</v>
      </c>
      <c r="H68" s="142" t="s">
        <v>303</v>
      </c>
      <c r="I68" s="178" t="s">
        <v>577</v>
      </c>
      <c r="J68" s="33"/>
      <c r="L68" s="142" t="s">
        <v>304</v>
      </c>
    </row>
    <row r="69" spans="1:12" ht="15.75" thickBot="1" x14ac:dyDescent="0.3">
      <c r="A69" s="142" t="s">
        <v>305</v>
      </c>
      <c r="B69" s="143">
        <v>9</v>
      </c>
      <c r="C69" s="142" t="s">
        <v>60</v>
      </c>
      <c r="D69" s="145">
        <v>394</v>
      </c>
      <c r="E69" s="142" t="s">
        <v>305</v>
      </c>
      <c r="F69" s="142" t="s">
        <v>619</v>
      </c>
      <c r="G69" s="143">
        <v>1</v>
      </c>
      <c r="H69" s="142" t="s">
        <v>306</v>
      </c>
      <c r="I69" s="178" t="s">
        <v>578</v>
      </c>
      <c r="J69" s="30"/>
      <c r="L69" s="142" t="s">
        <v>307</v>
      </c>
    </row>
    <row r="70" spans="1:12" ht="15.75" thickBot="1" x14ac:dyDescent="0.3">
      <c r="A70" s="147" t="s">
        <v>308</v>
      </c>
      <c r="B70" s="148">
        <v>10</v>
      </c>
      <c r="C70" s="147" t="s">
        <v>159</v>
      </c>
      <c r="D70" s="149">
        <v>300</v>
      </c>
      <c r="E70" s="147" t="s">
        <v>308</v>
      </c>
      <c r="F70" s="147" t="s">
        <v>309</v>
      </c>
      <c r="G70" s="148">
        <v>1</v>
      </c>
      <c r="H70" s="147" t="s">
        <v>604</v>
      </c>
      <c r="I70" s="178" t="s">
        <v>579</v>
      </c>
      <c r="J70" s="33"/>
      <c r="L70" s="147" t="s">
        <v>177</v>
      </c>
    </row>
    <row r="71" spans="1:12" ht="15.75" thickBot="1" x14ac:dyDescent="0.3">
      <c r="A71" s="243" t="s">
        <v>310</v>
      </c>
      <c r="B71" s="244">
        <v>11</v>
      </c>
      <c r="C71" s="243" t="s">
        <v>162</v>
      </c>
      <c r="D71" s="247">
        <v>104</v>
      </c>
      <c r="E71" s="243" t="s">
        <v>310</v>
      </c>
      <c r="F71" s="243" t="s">
        <v>311</v>
      </c>
      <c r="G71" s="143">
        <v>1</v>
      </c>
      <c r="H71" s="243" t="s">
        <v>271</v>
      </c>
      <c r="I71" s="178" t="s">
        <v>580</v>
      </c>
      <c r="J71" s="30"/>
      <c r="L71" s="142" t="s">
        <v>179</v>
      </c>
    </row>
    <row r="72" spans="1:12" ht="15.75" thickBot="1" x14ac:dyDescent="0.3">
      <c r="A72" s="243"/>
      <c r="B72" s="245"/>
      <c r="C72" s="243"/>
      <c r="D72" s="248"/>
      <c r="E72" s="243"/>
      <c r="F72" s="243"/>
      <c r="G72" s="143">
        <v>1</v>
      </c>
      <c r="H72" s="243"/>
      <c r="J72" s="33"/>
      <c r="L72" s="142" t="s">
        <v>181</v>
      </c>
    </row>
    <row r="73" spans="1:12" ht="15.75" thickBot="1" x14ac:dyDescent="0.3">
      <c r="A73" s="243"/>
      <c r="B73" s="245"/>
      <c r="C73" s="243"/>
      <c r="D73" s="248"/>
      <c r="E73" s="243"/>
      <c r="F73" s="243"/>
      <c r="G73" s="143">
        <v>1</v>
      </c>
      <c r="H73" s="243"/>
      <c r="J73" s="30"/>
      <c r="L73" s="142" t="s">
        <v>183</v>
      </c>
    </row>
    <row r="74" spans="1:12" ht="15.75" thickBot="1" x14ac:dyDescent="0.3">
      <c r="A74" s="243"/>
      <c r="B74" s="245"/>
      <c r="C74" s="243"/>
      <c r="D74" s="248"/>
      <c r="E74" s="243"/>
      <c r="F74" s="243"/>
      <c r="G74" s="143">
        <v>1</v>
      </c>
      <c r="H74" s="243"/>
      <c r="J74" s="33"/>
      <c r="L74" s="142" t="s">
        <v>185</v>
      </c>
    </row>
    <row r="75" spans="1:12" ht="15.75" thickBot="1" x14ac:dyDescent="0.3">
      <c r="A75" s="243"/>
      <c r="B75" s="245"/>
      <c r="C75" s="243"/>
      <c r="D75" s="248"/>
      <c r="E75" s="243"/>
      <c r="F75" s="243"/>
      <c r="G75" s="143">
        <v>1</v>
      </c>
      <c r="H75" s="243"/>
      <c r="J75" s="30"/>
      <c r="L75" s="142" t="s">
        <v>187</v>
      </c>
    </row>
    <row r="76" spans="1:12" ht="15.75" thickBot="1" x14ac:dyDescent="0.3">
      <c r="A76" s="243"/>
      <c r="B76" s="245"/>
      <c r="C76" s="243"/>
      <c r="D76" s="248"/>
      <c r="E76" s="243"/>
      <c r="F76" s="243"/>
      <c r="G76" s="143">
        <v>1</v>
      </c>
      <c r="H76" s="243"/>
      <c r="J76" s="33"/>
      <c r="L76" s="142" t="s">
        <v>189</v>
      </c>
    </row>
    <row r="77" spans="1:12" ht="15.75" thickBot="1" x14ac:dyDescent="0.3">
      <c r="A77" s="243"/>
      <c r="B77" s="246"/>
      <c r="C77" s="243"/>
      <c r="D77" s="249"/>
      <c r="E77" s="243"/>
      <c r="F77" s="243"/>
      <c r="G77" s="143">
        <v>1</v>
      </c>
      <c r="H77" s="243"/>
      <c r="J77" s="30"/>
      <c r="L77" s="142" t="s">
        <v>191</v>
      </c>
    </row>
    <row r="78" spans="1:12" ht="15.75" thickBot="1" x14ac:dyDescent="0.3">
      <c r="A78" s="142" t="s">
        <v>312</v>
      </c>
      <c r="B78" s="143">
        <v>12</v>
      </c>
      <c r="C78" s="142" t="s">
        <v>313</v>
      </c>
      <c r="D78" s="145">
        <v>732</v>
      </c>
      <c r="E78" s="142" t="s">
        <v>312</v>
      </c>
      <c r="F78" s="142" t="s">
        <v>314</v>
      </c>
      <c r="G78" s="143">
        <v>1</v>
      </c>
      <c r="H78" s="142" t="s">
        <v>315</v>
      </c>
      <c r="I78" s="178" t="s">
        <v>581</v>
      </c>
      <c r="J78" s="33"/>
      <c r="L78" s="142" t="s">
        <v>316</v>
      </c>
    </row>
    <row r="79" spans="1:12" ht="15.75" thickBot="1" x14ac:dyDescent="0.3">
      <c r="A79" s="142" t="s">
        <v>317</v>
      </c>
      <c r="B79" s="143">
        <v>13</v>
      </c>
      <c r="C79" s="142" t="s">
        <v>318</v>
      </c>
      <c r="D79" s="145">
        <v>94</v>
      </c>
      <c r="E79" s="142" t="s">
        <v>317</v>
      </c>
      <c r="F79" s="142" t="s">
        <v>319</v>
      </c>
      <c r="G79" s="143">
        <v>1</v>
      </c>
      <c r="H79" s="142" t="s">
        <v>320</v>
      </c>
      <c r="I79" s="178" t="s">
        <v>582</v>
      </c>
      <c r="J79" s="30"/>
      <c r="L79" s="142" t="s">
        <v>321</v>
      </c>
    </row>
    <row r="80" spans="1:12" ht="15.75" thickBot="1" x14ac:dyDescent="0.3">
      <c r="A80" s="142" t="s">
        <v>322</v>
      </c>
      <c r="B80" s="143">
        <v>14</v>
      </c>
      <c r="C80" s="142" t="s">
        <v>323</v>
      </c>
      <c r="D80" s="145">
        <v>23</v>
      </c>
      <c r="E80" s="142" t="s">
        <v>322</v>
      </c>
      <c r="F80" s="142" t="s">
        <v>324</v>
      </c>
      <c r="G80" s="143">
        <v>1</v>
      </c>
      <c r="H80" s="142" t="s">
        <v>325</v>
      </c>
      <c r="I80" s="178" t="s">
        <v>583</v>
      </c>
      <c r="J80" s="33"/>
      <c r="L80" s="142" t="s">
        <v>326</v>
      </c>
    </row>
    <row r="81" spans="1:12" ht="15.75" thickBot="1" x14ac:dyDescent="0.3">
      <c r="A81" s="142" t="s">
        <v>327</v>
      </c>
      <c r="B81" s="143">
        <v>15</v>
      </c>
      <c r="C81" s="142" t="s">
        <v>328</v>
      </c>
      <c r="D81" s="145">
        <v>29</v>
      </c>
      <c r="E81" s="142" t="s">
        <v>327</v>
      </c>
      <c r="F81" s="142" t="s">
        <v>329</v>
      </c>
      <c r="G81" s="143">
        <v>1</v>
      </c>
      <c r="H81" s="142" t="s">
        <v>330</v>
      </c>
      <c r="I81" s="178" t="s">
        <v>584</v>
      </c>
      <c r="J81" s="30"/>
      <c r="L81" s="142" t="s">
        <v>331</v>
      </c>
    </row>
    <row r="82" spans="1:12" ht="15.75" thickBot="1" x14ac:dyDescent="0.3">
      <c r="A82" s="147" t="s">
        <v>332</v>
      </c>
      <c r="B82" s="148">
        <v>16</v>
      </c>
      <c r="C82" s="147" t="s">
        <v>36</v>
      </c>
      <c r="D82" s="149">
        <v>49</v>
      </c>
      <c r="E82" s="147" t="s">
        <v>332</v>
      </c>
      <c r="F82" s="147" t="s">
        <v>333</v>
      </c>
      <c r="G82" s="148">
        <v>1</v>
      </c>
      <c r="H82" s="147" t="s">
        <v>35</v>
      </c>
      <c r="I82" s="178" t="s">
        <v>585</v>
      </c>
      <c r="J82" s="33"/>
      <c r="L82" s="147"/>
    </row>
    <row r="83" spans="1:12" ht="15.75" thickBot="1" x14ac:dyDescent="0.3">
      <c r="A83" s="142" t="s">
        <v>334</v>
      </c>
      <c r="B83" s="143">
        <v>17</v>
      </c>
      <c r="C83" s="142" t="s">
        <v>145</v>
      </c>
      <c r="D83" s="145">
        <v>207</v>
      </c>
      <c r="E83" s="142" t="s">
        <v>334</v>
      </c>
      <c r="F83" s="142" t="s">
        <v>335</v>
      </c>
      <c r="G83" s="143">
        <v>1</v>
      </c>
      <c r="H83" s="142" t="s">
        <v>570</v>
      </c>
      <c r="I83" s="178" t="s">
        <v>586</v>
      </c>
      <c r="J83" s="30"/>
      <c r="L83" s="142" t="s">
        <v>194</v>
      </c>
    </row>
    <row r="84" spans="1:12" ht="15.75" thickBot="1" x14ac:dyDescent="0.3">
      <c r="A84" s="142" t="s">
        <v>336</v>
      </c>
      <c r="B84" s="143">
        <v>18</v>
      </c>
      <c r="C84" s="142" t="s">
        <v>139</v>
      </c>
      <c r="D84" s="145">
        <v>79</v>
      </c>
      <c r="E84" s="142" t="s">
        <v>336</v>
      </c>
      <c r="F84" s="142" t="s">
        <v>337</v>
      </c>
      <c r="G84" s="143">
        <v>1</v>
      </c>
      <c r="H84" s="142" t="s">
        <v>273</v>
      </c>
      <c r="I84" s="178" t="s">
        <v>587</v>
      </c>
      <c r="J84" s="33"/>
      <c r="L84" s="142" t="s">
        <v>195</v>
      </c>
    </row>
    <row r="85" spans="1:12" ht="26.25" thickBot="1" x14ac:dyDescent="0.3">
      <c r="A85" s="163" t="s">
        <v>338</v>
      </c>
      <c r="B85" s="165">
        <v>19</v>
      </c>
      <c r="C85" s="163" t="s">
        <v>592</v>
      </c>
      <c r="D85" s="164">
        <v>99.99</v>
      </c>
      <c r="E85" s="163" t="s">
        <v>338</v>
      </c>
      <c r="F85" s="164" t="s">
        <v>409</v>
      </c>
      <c r="G85" s="167">
        <v>1</v>
      </c>
      <c r="H85" s="164" t="s">
        <v>411</v>
      </c>
      <c r="I85" s="163" t="s">
        <v>592</v>
      </c>
      <c r="J85" s="164" t="s">
        <v>175</v>
      </c>
      <c r="L85" s="163" t="s">
        <v>412</v>
      </c>
    </row>
    <row r="86" spans="1:12" ht="15.75" thickBot="1" x14ac:dyDescent="0.3">
      <c r="A86" s="235" t="s">
        <v>339</v>
      </c>
      <c r="B86" s="252">
        <v>20</v>
      </c>
      <c r="C86" s="235" t="s">
        <v>413</v>
      </c>
      <c r="D86" s="250">
        <v>429</v>
      </c>
      <c r="E86" s="235" t="s">
        <v>339</v>
      </c>
      <c r="F86" s="235" t="s">
        <v>415</v>
      </c>
      <c r="G86" s="182">
        <v>1</v>
      </c>
      <c r="H86" s="250" t="s">
        <v>418</v>
      </c>
      <c r="I86" s="254" t="s">
        <v>595</v>
      </c>
      <c r="J86" s="140" t="s">
        <v>175</v>
      </c>
      <c r="K86" s="186"/>
      <c r="L86" s="183" t="s">
        <v>417</v>
      </c>
    </row>
    <row r="87" spans="1:12" ht="15.75" thickBot="1" x14ac:dyDescent="0.3">
      <c r="A87" s="237"/>
      <c r="B87" s="253"/>
      <c r="C87" s="237"/>
      <c r="D87" s="251"/>
      <c r="E87" s="237"/>
      <c r="F87" s="237"/>
      <c r="G87" s="182">
        <v>2</v>
      </c>
      <c r="H87" s="251"/>
      <c r="I87" s="255"/>
      <c r="J87" s="140" t="s">
        <v>175</v>
      </c>
      <c r="K87" s="186"/>
      <c r="L87" s="183" t="s">
        <v>416</v>
      </c>
    </row>
    <row r="88" spans="1:12" ht="15.75" thickBot="1" x14ac:dyDescent="0.3">
      <c r="A88" s="235" t="s">
        <v>340</v>
      </c>
      <c r="B88" s="252">
        <v>21</v>
      </c>
      <c r="C88" s="250" t="s">
        <v>414</v>
      </c>
      <c r="D88" s="250">
        <v>748</v>
      </c>
      <c r="E88" s="235" t="s">
        <v>340</v>
      </c>
      <c r="F88" s="250" t="s">
        <v>419</v>
      </c>
      <c r="G88" s="182">
        <v>1</v>
      </c>
      <c r="H88" s="250" t="s">
        <v>483</v>
      </c>
      <c r="I88" s="254" t="s">
        <v>594</v>
      </c>
      <c r="J88" s="140" t="s">
        <v>175</v>
      </c>
      <c r="K88" s="186"/>
      <c r="L88" s="183" t="s">
        <v>417</v>
      </c>
    </row>
    <row r="89" spans="1:12" ht="15.75" thickBot="1" x14ac:dyDescent="0.3">
      <c r="A89" s="237"/>
      <c r="B89" s="253"/>
      <c r="C89" s="251"/>
      <c r="D89" s="251"/>
      <c r="E89" s="237"/>
      <c r="F89" s="251"/>
      <c r="G89" s="182">
        <v>2</v>
      </c>
      <c r="H89" s="251"/>
      <c r="I89" s="255"/>
      <c r="J89" s="140" t="s">
        <v>175</v>
      </c>
      <c r="K89" s="186"/>
      <c r="L89" s="183" t="s">
        <v>420</v>
      </c>
    </row>
    <row r="90" spans="1:12" ht="26.25" thickBot="1" x14ac:dyDescent="0.3">
      <c r="A90" s="257" t="s">
        <v>341</v>
      </c>
      <c r="B90" s="260">
        <v>22</v>
      </c>
      <c r="C90" s="235" t="s">
        <v>591</v>
      </c>
      <c r="D90" s="250">
        <v>270</v>
      </c>
      <c r="E90" s="257" t="s">
        <v>341</v>
      </c>
      <c r="F90" s="250" t="s">
        <v>492</v>
      </c>
      <c r="G90" s="182">
        <v>1</v>
      </c>
      <c r="H90" s="140" t="s">
        <v>556</v>
      </c>
      <c r="I90" s="235" t="s">
        <v>593</v>
      </c>
      <c r="J90" s="140"/>
      <c r="K90" s="186"/>
      <c r="L90" s="183"/>
    </row>
    <row r="91" spans="1:12" ht="15.75" thickBot="1" x14ac:dyDescent="0.3">
      <c r="A91" s="258"/>
      <c r="B91" s="261"/>
      <c r="C91" s="236"/>
      <c r="D91" s="256"/>
      <c r="E91" s="258"/>
      <c r="F91" s="256"/>
      <c r="G91" s="182">
        <v>1</v>
      </c>
      <c r="H91" s="140" t="s">
        <v>485</v>
      </c>
      <c r="I91" s="236"/>
      <c r="J91" s="140" t="s">
        <v>175</v>
      </c>
      <c r="K91" s="186"/>
      <c r="L91" s="183" t="s">
        <v>484</v>
      </c>
    </row>
    <row r="92" spans="1:12" ht="15.75" thickBot="1" x14ac:dyDescent="0.3">
      <c r="A92" s="258"/>
      <c r="B92" s="261"/>
      <c r="C92" s="236"/>
      <c r="D92" s="256"/>
      <c r="E92" s="258"/>
      <c r="F92" s="256"/>
      <c r="G92" s="182">
        <v>1</v>
      </c>
      <c r="H92" s="140" t="s">
        <v>486</v>
      </c>
      <c r="I92" s="236"/>
      <c r="J92" s="140" t="s">
        <v>175</v>
      </c>
      <c r="K92" s="186"/>
      <c r="L92" s="183" t="s">
        <v>487</v>
      </c>
    </row>
    <row r="93" spans="1:12" ht="15.75" thickBot="1" x14ac:dyDescent="0.3">
      <c r="A93" s="258"/>
      <c r="B93" s="261"/>
      <c r="C93" s="236"/>
      <c r="D93" s="256"/>
      <c r="E93" s="258"/>
      <c r="F93" s="256"/>
      <c r="G93" s="182">
        <v>1</v>
      </c>
      <c r="H93" s="140" t="s">
        <v>488</v>
      </c>
      <c r="I93" s="236"/>
      <c r="J93" s="140" t="s">
        <v>175</v>
      </c>
      <c r="K93" s="186"/>
      <c r="L93" s="183" t="s">
        <v>489</v>
      </c>
    </row>
    <row r="94" spans="1:12" ht="15.75" thickBot="1" x14ac:dyDescent="0.3">
      <c r="A94" s="259"/>
      <c r="B94" s="262"/>
      <c r="C94" s="237"/>
      <c r="D94" s="251"/>
      <c r="E94" s="259"/>
      <c r="F94" s="251"/>
      <c r="G94" s="182">
        <v>1</v>
      </c>
      <c r="H94" s="140" t="s">
        <v>490</v>
      </c>
      <c r="I94" s="237"/>
      <c r="J94" s="140" t="s">
        <v>175</v>
      </c>
      <c r="K94" s="186"/>
      <c r="L94" s="183" t="s">
        <v>491</v>
      </c>
    </row>
    <row r="95" spans="1:12" ht="15.75" thickBot="1" x14ac:dyDescent="0.3">
      <c r="A95" s="235" t="s">
        <v>342</v>
      </c>
      <c r="B95" s="252">
        <v>23</v>
      </c>
      <c r="C95" s="250" t="s">
        <v>508</v>
      </c>
      <c r="D95" s="250">
        <v>383</v>
      </c>
      <c r="E95" s="235" t="s">
        <v>342</v>
      </c>
      <c r="F95" s="250" t="s">
        <v>507</v>
      </c>
      <c r="G95" s="182">
        <v>1</v>
      </c>
      <c r="H95" s="250" t="s">
        <v>600</v>
      </c>
      <c r="I95" s="254" t="s">
        <v>599</v>
      </c>
      <c r="J95" s="140" t="s">
        <v>175</v>
      </c>
      <c r="K95" s="186"/>
      <c r="L95" s="183" t="s">
        <v>495</v>
      </c>
    </row>
    <row r="96" spans="1:12" ht="15.75" thickBot="1" x14ac:dyDescent="0.3">
      <c r="A96" s="237"/>
      <c r="B96" s="253"/>
      <c r="C96" s="251"/>
      <c r="D96" s="251"/>
      <c r="E96" s="237"/>
      <c r="F96" s="251"/>
      <c r="G96" s="182">
        <v>2</v>
      </c>
      <c r="H96" s="251"/>
      <c r="I96" s="255"/>
      <c r="J96" s="140" t="s">
        <v>175</v>
      </c>
      <c r="K96" s="186"/>
      <c r="L96" s="183" t="s">
        <v>494</v>
      </c>
    </row>
    <row r="97" spans="1:12" ht="15.75" thickBot="1" x14ac:dyDescent="0.3">
      <c r="A97" s="163" t="s">
        <v>343</v>
      </c>
      <c r="B97" s="165">
        <v>24</v>
      </c>
      <c r="C97" s="163" t="s">
        <v>499</v>
      </c>
      <c r="D97" s="171">
        <v>90</v>
      </c>
      <c r="E97" s="163" t="s">
        <v>343</v>
      </c>
      <c r="F97" s="164" t="s">
        <v>505</v>
      </c>
      <c r="G97" s="167">
        <v>1</v>
      </c>
      <c r="H97" s="164" t="s">
        <v>493</v>
      </c>
      <c r="I97" s="163"/>
      <c r="J97" s="164" t="s">
        <v>175</v>
      </c>
      <c r="L97" s="163" t="s">
        <v>494</v>
      </c>
    </row>
    <row r="98" spans="1:12" ht="15.75" thickBot="1" x14ac:dyDescent="0.3">
      <c r="A98" s="163" t="s">
        <v>344</v>
      </c>
      <c r="B98" s="165">
        <v>25</v>
      </c>
      <c r="C98" s="163" t="s">
        <v>477</v>
      </c>
      <c r="D98" s="171">
        <v>9999</v>
      </c>
      <c r="E98" s="163" t="s">
        <v>344</v>
      </c>
      <c r="F98" s="164" t="s">
        <v>500</v>
      </c>
      <c r="G98" s="167">
        <v>1</v>
      </c>
      <c r="H98" s="164" t="s">
        <v>496</v>
      </c>
      <c r="I98" s="163"/>
      <c r="J98" s="164" t="s">
        <v>175</v>
      </c>
      <c r="L98" s="163" t="s">
        <v>482</v>
      </c>
    </row>
    <row r="99" spans="1:12" ht="26.25" thickBot="1" x14ac:dyDescent="0.3">
      <c r="A99" s="183" t="s">
        <v>345</v>
      </c>
      <c r="B99" s="184">
        <v>26</v>
      </c>
      <c r="C99" s="183" t="s">
        <v>590</v>
      </c>
      <c r="D99" s="185">
        <v>3</v>
      </c>
      <c r="E99" s="183" t="s">
        <v>345</v>
      </c>
      <c r="F99" s="140" t="s">
        <v>410</v>
      </c>
      <c r="G99" s="182">
        <v>1</v>
      </c>
      <c r="H99" s="140" t="s">
        <v>275</v>
      </c>
      <c r="I99" s="183" t="s">
        <v>590</v>
      </c>
      <c r="J99" s="140"/>
      <c r="K99" s="186"/>
      <c r="L99" s="183"/>
    </row>
    <row r="100" spans="1:12" ht="26.25" thickBot="1" x14ac:dyDescent="0.3">
      <c r="A100" s="183" t="s">
        <v>346</v>
      </c>
      <c r="B100" s="184">
        <v>27</v>
      </c>
      <c r="C100" s="183" t="s">
        <v>503</v>
      </c>
      <c r="D100" s="185">
        <v>479</v>
      </c>
      <c r="E100" s="183" t="s">
        <v>346</v>
      </c>
      <c r="F100" s="140" t="s">
        <v>504</v>
      </c>
      <c r="G100" s="182">
        <v>1</v>
      </c>
      <c r="H100" s="140" t="s">
        <v>497</v>
      </c>
      <c r="I100" s="183" t="s">
        <v>596</v>
      </c>
      <c r="J100" s="140" t="s">
        <v>175</v>
      </c>
      <c r="K100" s="186"/>
      <c r="L100" s="183" t="s">
        <v>498</v>
      </c>
    </row>
    <row r="101" spans="1:12" ht="15.75" thickBot="1" x14ac:dyDescent="0.3">
      <c r="A101" s="40" t="s">
        <v>347</v>
      </c>
      <c r="B101" s="39">
        <v>28</v>
      </c>
      <c r="C101" s="32" t="s">
        <v>566</v>
      </c>
      <c r="D101" s="137">
        <v>345</v>
      </c>
      <c r="E101" s="40" t="s">
        <v>347</v>
      </c>
      <c r="F101" s="33" t="s">
        <v>568</v>
      </c>
      <c r="G101" s="34">
        <v>1</v>
      </c>
      <c r="H101" s="33" t="s">
        <v>567</v>
      </c>
      <c r="I101" s="178" t="s">
        <v>588</v>
      </c>
      <c r="J101" s="170"/>
      <c r="L101" s="169"/>
    </row>
    <row r="102" spans="1:12" ht="15.75" thickBot="1" x14ac:dyDescent="0.3">
      <c r="A102" s="235" t="s">
        <v>348</v>
      </c>
      <c r="B102" s="252">
        <v>29</v>
      </c>
      <c r="C102" s="250" t="s">
        <v>508</v>
      </c>
      <c r="D102" s="250">
        <v>411</v>
      </c>
      <c r="E102" s="235" t="s">
        <v>348</v>
      </c>
      <c r="F102" s="250" t="s">
        <v>597</v>
      </c>
      <c r="G102" s="182">
        <v>1</v>
      </c>
      <c r="H102" s="250" t="s">
        <v>601</v>
      </c>
      <c r="I102" s="254" t="s">
        <v>598</v>
      </c>
      <c r="J102" s="140" t="s">
        <v>175</v>
      </c>
      <c r="K102" s="186"/>
      <c r="L102" s="183" t="s">
        <v>495</v>
      </c>
    </row>
    <row r="103" spans="1:12" ht="15.75" thickBot="1" x14ac:dyDescent="0.3">
      <c r="A103" s="237"/>
      <c r="B103" s="253"/>
      <c r="C103" s="251"/>
      <c r="D103" s="251"/>
      <c r="E103" s="237"/>
      <c r="F103" s="251"/>
      <c r="G103" s="182">
        <v>2</v>
      </c>
      <c r="H103" s="251"/>
      <c r="I103" s="255"/>
      <c r="J103" s="140" t="s">
        <v>175</v>
      </c>
      <c r="K103" s="186"/>
      <c r="L103" s="183" t="s">
        <v>482</v>
      </c>
    </row>
    <row r="104" spans="1:12" ht="26.25" thickBot="1" x14ac:dyDescent="0.3">
      <c r="A104" s="40" t="s">
        <v>349</v>
      </c>
      <c r="B104" s="39">
        <v>30</v>
      </c>
      <c r="C104" s="40"/>
      <c r="D104" s="137">
        <v>672</v>
      </c>
      <c r="E104" s="40" t="s">
        <v>349</v>
      </c>
      <c r="F104" s="227" t="s">
        <v>622</v>
      </c>
      <c r="G104" s="42">
        <v>1</v>
      </c>
      <c r="H104" s="229" t="s">
        <v>623</v>
      </c>
      <c r="I104" s="183" t="s">
        <v>624</v>
      </c>
      <c r="J104" s="170" t="s">
        <v>175</v>
      </c>
      <c r="L104" s="169"/>
    </row>
    <row r="105" spans="1:12" ht="15.75" thickBot="1" x14ac:dyDescent="0.3">
      <c r="A105" s="36" t="s">
        <v>350</v>
      </c>
      <c r="B105" s="35">
        <v>31</v>
      </c>
      <c r="C105" s="36"/>
      <c r="D105" s="33"/>
      <c r="E105" s="36" t="s">
        <v>350</v>
      </c>
      <c r="F105" s="37"/>
      <c r="G105" s="38"/>
      <c r="H105" s="37"/>
      <c r="I105" s="32"/>
      <c r="J105" s="37" t="s">
        <v>175</v>
      </c>
      <c r="L105" s="32"/>
    </row>
    <row r="106" spans="1:12" ht="15.75" thickBot="1" x14ac:dyDescent="0.3">
      <c r="A106" s="40" t="s">
        <v>351</v>
      </c>
      <c r="B106" s="39">
        <v>32</v>
      </c>
      <c r="C106" s="40"/>
      <c r="D106" s="137"/>
      <c r="E106" s="40" t="s">
        <v>351</v>
      </c>
      <c r="F106" s="41"/>
      <c r="G106" s="42"/>
      <c r="H106" s="154"/>
      <c r="I106" s="169"/>
      <c r="J106" s="170" t="s">
        <v>175</v>
      </c>
      <c r="L106" s="169"/>
    </row>
    <row r="107" spans="1:12" ht="15.75" thickBot="1" x14ac:dyDescent="0.3">
      <c r="A107" s="36" t="s">
        <v>352</v>
      </c>
      <c r="B107" s="35">
        <v>33</v>
      </c>
      <c r="C107" s="36"/>
      <c r="D107" s="33"/>
      <c r="E107" s="36" t="s">
        <v>352</v>
      </c>
      <c r="F107" s="37"/>
      <c r="G107" s="38"/>
      <c r="H107" s="37"/>
      <c r="I107" s="32"/>
      <c r="J107" s="37" t="s">
        <v>175</v>
      </c>
      <c r="L107" s="32"/>
    </row>
    <row r="108" spans="1:12" ht="15.75" thickBot="1" x14ac:dyDescent="0.3">
      <c r="A108" s="40" t="s">
        <v>353</v>
      </c>
      <c r="B108" s="39">
        <v>34</v>
      </c>
      <c r="C108" s="40"/>
      <c r="D108" s="137"/>
      <c r="E108" s="40" t="s">
        <v>353</v>
      </c>
      <c r="F108" s="137"/>
      <c r="G108" s="139"/>
      <c r="H108" s="137"/>
      <c r="I108" s="138"/>
      <c r="J108" s="137"/>
      <c r="L108" s="177"/>
    </row>
    <row r="109" spans="1:12" ht="15.75" thickBot="1" x14ac:dyDescent="0.3">
      <c r="A109" s="36" t="s">
        <v>354</v>
      </c>
      <c r="B109" s="35">
        <v>35</v>
      </c>
      <c r="C109" s="36"/>
      <c r="D109" s="37"/>
      <c r="E109" s="36" t="s">
        <v>354</v>
      </c>
      <c r="F109" s="37"/>
      <c r="G109" s="38"/>
      <c r="H109" s="37"/>
      <c r="I109" s="32"/>
      <c r="J109" s="33"/>
      <c r="L109" s="32"/>
    </row>
    <row r="110" spans="1:12" ht="15.75" thickBot="1" x14ac:dyDescent="0.3">
      <c r="A110" s="40" t="s">
        <v>355</v>
      </c>
      <c r="B110" s="39">
        <v>36</v>
      </c>
      <c r="C110" s="40" t="s">
        <v>421</v>
      </c>
      <c r="D110" s="157"/>
      <c r="E110" s="40" t="s">
        <v>355</v>
      </c>
      <c r="F110" s="41" t="s">
        <v>439</v>
      </c>
      <c r="G110" s="42">
        <v>2</v>
      </c>
      <c r="H110" s="154" t="s">
        <v>427</v>
      </c>
      <c r="I110" s="155"/>
      <c r="J110" s="156" t="s">
        <v>175</v>
      </c>
      <c r="L110" s="155" t="s">
        <v>433</v>
      </c>
    </row>
    <row r="111" spans="1:12" ht="15.75" thickBot="1" x14ac:dyDescent="0.3">
      <c r="A111" s="36" t="s">
        <v>356</v>
      </c>
      <c r="B111" s="35">
        <v>37</v>
      </c>
      <c r="C111" s="36" t="s">
        <v>422</v>
      </c>
      <c r="D111" s="33"/>
      <c r="E111" s="36" t="s">
        <v>356</v>
      </c>
      <c r="F111" s="37" t="s">
        <v>440</v>
      </c>
      <c r="G111" s="38">
        <v>2</v>
      </c>
      <c r="H111" s="37" t="s">
        <v>428</v>
      </c>
      <c r="I111" s="155"/>
      <c r="J111" s="156" t="s">
        <v>175</v>
      </c>
      <c r="L111" s="155" t="s">
        <v>434</v>
      </c>
    </row>
    <row r="112" spans="1:12" ht="15.75" thickBot="1" x14ac:dyDescent="0.3">
      <c r="A112" s="40" t="s">
        <v>357</v>
      </c>
      <c r="B112" s="39">
        <v>38</v>
      </c>
      <c r="C112" s="40" t="s">
        <v>423</v>
      </c>
      <c r="D112" s="157"/>
      <c r="E112" s="40" t="s">
        <v>357</v>
      </c>
      <c r="F112" s="41" t="s">
        <v>441</v>
      </c>
      <c r="G112" s="42">
        <v>2</v>
      </c>
      <c r="H112" s="154" t="s">
        <v>429</v>
      </c>
      <c r="I112" s="155"/>
      <c r="J112" s="156" t="s">
        <v>175</v>
      </c>
      <c r="L112" s="155" t="s">
        <v>435</v>
      </c>
    </row>
    <row r="113" spans="1:12" ht="15.75" thickBot="1" x14ac:dyDescent="0.3">
      <c r="A113" s="36" t="s">
        <v>358</v>
      </c>
      <c r="B113" s="35">
        <v>39</v>
      </c>
      <c r="C113" s="36" t="s">
        <v>424</v>
      </c>
      <c r="D113" s="33"/>
      <c r="E113" s="36" t="s">
        <v>358</v>
      </c>
      <c r="F113" s="37" t="s">
        <v>442</v>
      </c>
      <c r="G113" s="38">
        <v>2</v>
      </c>
      <c r="H113" s="37" t="s">
        <v>430</v>
      </c>
      <c r="I113" s="155"/>
      <c r="J113" s="156" t="s">
        <v>175</v>
      </c>
      <c r="L113" s="155" t="s">
        <v>436</v>
      </c>
    </row>
    <row r="114" spans="1:12" ht="15.75" thickBot="1" x14ac:dyDescent="0.3">
      <c r="A114" s="40" t="s">
        <v>359</v>
      </c>
      <c r="B114" s="39">
        <v>40</v>
      </c>
      <c r="C114" s="40" t="s">
        <v>425</v>
      </c>
      <c r="D114" s="157"/>
      <c r="E114" s="40" t="s">
        <v>359</v>
      </c>
      <c r="F114" s="41" t="s">
        <v>443</v>
      </c>
      <c r="G114" s="42">
        <v>2</v>
      </c>
      <c r="H114" s="154" t="s">
        <v>431</v>
      </c>
      <c r="I114" s="155"/>
      <c r="J114" s="156" t="s">
        <v>175</v>
      </c>
      <c r="L114" s="155" t="s">
        <v>437</v>
      </c>
    </row>
    <row r="115" spans="1:12" ht="15.75" thickBot="1" x14ac:dyDescent="0.3">
      <c r="A115" s="36" t="s">
        <v>360</v>
      </c>
      <c r="B115" s="35">
        <v>41</v>
      </c>
      <c r="C115" s="36" t="s">
        <v>426</v>
      </c>
      <c r="D115" s="33"/>
      <c r="E115" s="36" t="s">
        <v>360</v>
      </c>
      <c r="F115" s="37" t="s">
        <v>444</v>
      </c>
      <c r="G115" s="38">
        <v>2</v>
      </c>
      <c r="H115" s="37" t="s">
        <v>432</v>
      </c>
      <c r="I115" s="155"/>
      <c r="J115" s="156" t="s">
        <v>175</v>
      </c>
      <c r="L115" s="155" t="s">
        <v>438</v>
      </c>
    </row>
    <row r="116" spans="1:12" ht="15.75" thickBot="1" x14ac:dyDescent="0.3">
      <c r="A116" s="40" t="s">
        <v>361</v>
      </c>
      <c r="B116" s="39">
        <v>42</v>
      </c>
      <c r="C116" s="138"/>
      <c r="D116" s="137"/>
      <c r="E116" s="40" t="s">
        <v>361</v>
      </c>
      <c r="F116" s="137"/>
      <c r="G116" s="139"/>
      <c r="H116" s="137"/>
      <c r="I116" s="138"/>
      <c r="J116" s="137"/>
      <c r="L116" s="177"/>
    </row>
    <row r="117" spans="1:12" ht="15.75" thickBot="1" x14ac:dyDescent="0.3">
      <c r="A117" s="36" t="s">
        <v>362</v>
      </c>
      <c r="B117" s="35">
        <v>43</v>
      </c>
      <c r="C117" s="32"/>
      <c r="D117" s="33"/>
      <c r="E117" s="36" t="s">
        <v>362</v>
      </c>
      <c r="F117" s="33"/>
      <c r="G117" s="34"/>
      <c r="H117" s="33"/>
      <c r="I117" s="32"/>
      <c r="J117" s="33"/>
      <c r="L117" s="32"/>
    </row>
    <row r="118" spans="1:12" ht="15.75" thickBot="1" x14ac:dyDescent="0.3">
      <c r="A118" s="40" t="s">
        <v>363</v>
      </c>
      <c r="B118" s="39">
        <v>44</v>
      </c>
      <c r="C118" s="138"/>
      <c r="D118" s="137"/>
      <c r="E118" s="40" t="s">
        <v>363</v>
      </c>
      <c r="F118" s="137"/>
      <c r="G118" s="139"/>
      <c r="H118" s="137"/>
      <c r="I118" s="138"/>
      <c r="J118" s="137"/>
      <c r="L118" s="177"/>
    </row>
    <row r="119" spans="1:12" ht="15.75" thickBot="1" x14ac:dyDescent="0.3">
      <c r="A119" s="36" t="s">
        <v>364</v>
      </c>
      <c r="B119" s="35">
        <v>45</v>
      </c>
      <c r="C119" s="32"/>
      <c r="D119" s="33"/>
      <c r="E119" s="36" t="s">
        <v>364</v>
      </c>
      <c r="F119" s="33"/>
      <c r="G119" s="34"/>
      <c r="H119" s="33"/>
      <c r="I119" s="32"/>
      <c r="J119" s="33"/>
      <c r="L119" s="32"/>
    </row>
    <row r="120" spans="1:12" ht="15.75" thickBot="1" x14ac:dyDescent="0.3">
      <c r="A120" s="40" t="s">
        <v>365</v>
      </c>
      <c r="B120" s="39">
        <v>46</v>
      </c>
      <c r="C120" s="138"/>
      <c r="D120" s="137"/>
      <c r="E120" s="40" t="s">
        <v>365</v>
      </c>
      <c r="F120" s="137"/>
      <c r="G120" s="139"/>
      <c r="H120" s="137"/>
      <c r="I120" s="138"/>
      <c r="J120" s="137"/>
      <c r="L120" s="177"/>
    </row>
    <row r="121" spans="1:12" ht="15.75" thickBot="1" x14ac:dyDescent="0.3">
      <c r="A121" s="36" t="s">
        <v>366</v>
      </c>
      <c r="B121" s="35">
        <v>47</v>
      </c>
      <c r="C121" s="32"/>
      <c r="D121" s="33"/>
      <c r="E121" s="36" t="s">
        <v>366</v>
      </c>
      <c r="F121" s="33"/>
      <c r="G121" s="34"/>
      <c r="H121" s="33"/>
      <c r="I121" s="32"/>
      <c r="J121" s="33"/>
      <c r="L121" s="32"/>
    </row>
    <row r="122" spans="1:12" ht="15.75" thickBot="1" x14ac:dyDescent="0.3">
      <c r="A122" s="40" t="s">
        <v>367</v>
      </c>
      <c r="B122" s="39">
        <v>48</v>
      </c>
      <c r="C122" s="138"/>
      <c r="D122" s="137"/>
      <c r="E122" s="40" t="s">
        <v>367</v>
      </c>
      <c r="F122" s="137"/>
      <c r="G122" s="139"/>
      <c r="H122" s="137"/>
      <c r="I122" s="138"/>
      <c r="J122" s="137"/>
      <c r="L122" s="177"/>
    </row>
    <row r="123" spans="1:12" ht="15.75" thickBot="1" x14ac:dyDescent="0.3">
      <c r="A123" s="36" t="s">
        <v>368</v>
      </c>
      <c r="B123" s="35">
        <v>49</v>
      </c>
      <c r="C123" s="32"/>
      <c r="D123" s="33"/>
      <c r="E123" s="36" t="s">
        <v>368</v>
      </c>
      <c r="F123" s="33"/>
      <c r="G123" s="34"/>
      <c r="H123" s="33"/>
      <c r="I123" s="32"/>
      <c r="J123" s="33"/>
      <c r="L123" s="32"/>
    </row>
    <row r="124" spans="1:12" ht="15.75" thickBot="1" x14ac:dyDescent="0.3">
      <c r="A124" s="40" t="s">
        <v>369</v>
      </c>
      <c r="B124" s="39">
        <v>50</v>
      </c>
      <c r="C124" s="178" t="s">
        <v>565</v>
      </c>
      <c r="D124" s="137">
        <v>200</v>
      </c>
      <c r="E124" s="40" t="s">
        <v>369</v>
      </c>
      <c r="F124" s="178" t="s">
        <v>564</v>
      </c>
      <c r="G124" s="139">
        <v>1</v>
      </c>
      <c r="H124" s="178" t="s">
        <v>563</v>
      </c>
      <c r="I124" s="138"/>
      <c r="J124" s="137"/>
      <c r="L124" s="177"/>
    </row>
  </sheetData>
  <mergeCells count="62">
    <mergeCell ref="F102:F103"/>
    <mergeCell ref="H102:H103"/>
    <mergeCell ref="I102:I103"/>
    <mergeCell ref="A102:A103"/>
    <mergeCell ref="B102:B103"/>
    <mergeCell ref="C102:C103"/>
    <mergeCell ref="D102:D103"/>
    <mergeCell ref="E102:E103"/>
    <mergeCell ref="I88:I89"/>
    <mergeCell ref="I86:I87"/>
    <mergeCell ref="A95:A96"/>
    <mergeCell ref="B95:B96"/>
    <mergeCell ref="C95:C96"/>
    <mergeCell ref="D95:D96"/>
    <mergeCell ref="E95:E96"/>
    <mergeCell ref="F95:F96"/>
    <mergeCell ref="H95:H96"/>
    <mergeCell ref="I95:I96"/>
    <mergeCell ref="F90:F94"/>
    <mergeCell ref="A90:A94"/>
    <mergeCell ref="B90:B94"/>
    <mergeCell ref="C90:C94"/>
    <mergeCell ref="D90:D94"/>
    <mergeCell ref="E90:E94"/>
    <mergeCell ref="F86:F87"/>
    <mergeCell ref="H86:H87"/>
    <mergeCell ref="H88:H89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E71:E77"/>
    <mergeCell ref="F71:F77"/>
    <mergeCell ref="H71:H77"/>
    <mergeCell ref="A61:A62"/>
    <mergeCell ref="B61:B62"/>
    <mergeCell ref="C61:C62"/>
    <mergeCell ref="D61:D62"/>
    <mergeCell ref="E61:E62"/>
    <mergeCell ref="I90:I94"/>
    <mergeCell ref="H13:H19"/>
    <mergeCell ref="J13:J19"/>
    <mergeCell ref="A13:A19"/>
    <mergeCell ref="B13:B19"/>
    <mergeCell ref="C13:C19"/>
    <mergeCell ref="D13:D19"/>
    <mergeCell ref="E13:E19"/>
    <mergeCell ref="F13:F19"/>
    <mergeCell ref="G13:G19"/>
    <mergeCell ref="F61:F62"/>
    <mergeCell ref="H61:H62"/>
    <mergeCell ref="A71:A77"/>
    <mergeCell ref="B71:B77"/>
    <mergeCell ref="C71:C77"/>
    <mergeCell ref="D71:D7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>
    <tabColor rgb="FFFFFF00"/>
  </sheetPr>
  <dimension ref="A1:L27"/>
  <sheetViews>
    <sheetView zoomScaleNormal="100" workbookViewId="0">
      <selection activeCell="C21" sqref="C21"/>
    </sheetView>
  </sheetViews>
  <sheetFormatPr defaultColWidth="0" defaultRowHeight="15.75" customHeight="1" zeroHeight="1" x14ac:dyDescent="0.25"/>
  <cols>
    <col min="1" max="2" width="4.5703125" style="106" customWidth="1"/>
    <col min="3" max="3" width="72.7109375" style="217" customWidth="1"/>
    <col min="4" max="4" width="10.7109375" style="106" customWidth="1"/>
    <col min="5" max="5" width="17.42578125" style="217" customWidth="1"/>
    <col min="6" max="6" width="17.140625" style="217" customWidth="1"/>
    <col min="7" max="7" width="3.28515625" style="217" customWidth="1"/>
    <col min="8" max="8" width="16.42578125" style="218" hidden="1" customWidth="1"/>
    <col min="9" max="9" width="15.85546875" style="217" hidden="1" customWidth="1"/>
    <col min="10" max="10" width="10.42578125" style="217" hidden="1" customWidth="1"/>
    <col min="11" max="11" width="18.140625" style="217" hidden="1" customWidth="1"/>
    <col min="12" max="12" width="9.140625" style="217" hidden="1" customWidth="1"/>
    <col min="13" max="16384" width="9.140625" style="106" hidden="1"/>
  </cols>
  <sheetData>
    <row r="1" spans="1:12" ht="15" x14ac:dyDescent="0.25">
      <c r="E1" s="188" t="s">
        <v>152</v>
      </c>
      <c r="F1" s="189">
        <f>SUM(J9:J117)</f>
        <v>0</v>
      </c>
    </row>
    <row r="2" spans="1:12" ht="15" x14ac:dyDescent="0.25">
      <c r="E2" s="190">
        <v>0.2</v>
      </c>
      <c r="F2" s="191">
        <f>SUM(K9:K117)</f>
        <v>0</v>
      </c>
    </row>
    <row r="3" spans="1:12" ht="15" x14ac:dyDescent="0.25">
      <c r="E3" s="192" t="s">
        <v>153</v>
      </c>
      <c r="F3" s="193">
        <f>SUM(F1:F2)</f>
        <v>0</v>
      </c>
    </row>
    <row r="4" spans="1:12" ht="15" x14ac:dyDescent="0.25"/>
    <row r="5" spans="1:12" s="56" customFormat="1" ht="28.5" x14ac:dyDescent="0.2">
      <c r="C5" s="195" t="s">
        <v>608</v>
      </c>
      <c r="E5" s="187"/>
      <c r="F5" s="187"/>
      <c r="G5" s="187"/>
      <c r="H5" s="187"/>
      <c r="I5" s="123"/>
      <c r="J5" s="219"/>
      <c r="K5" s="194"/>
      <c r="L5" s="194"/>
    </row>
    <row r="6" spans="1:12" ht="15.75" customHeight="1" x14ac:dyDescent="0.25"/>
    <row r="7" spans="1:12" ht="15.75" customHeight="1" x14ac:dyDescent="0.25"/>
    <row r="8" spans="1:12" s="56" customFormat="1" ht="15.75" hidden="1" customHeight="1" thickBot="1" x14ac:dyDescent="0.3">
      <c r="A8" s="120"/>
      <c r="B8" s="120"/>
      <c r="C8" s="203" t="s">
        <v>609</v>
      </c>
      <c r="D8" s="230"/>
      <c r="E8" s="187"/>
      <c r="F8" s="220"/>
      <c r="G8" s="187"/>
      <c r="H8" s="221"/>
      <c r="I8" s="194"/>
      <c r="J8" s="187"/>
      <c r="K8" s="187"/>
      <c r="L8" s="187"/>
    </row>
    <row r="9" spans="1:12" s="56" customFormat="1" ht="16.5" hidden="1" customHeight="1" thickTop="1" thickBot="1" x14ac:dyDescent="0.25">
      <c r="C9" s="205" t="s">
        <v>610</v>
      </c>
      <c r="D9" s="230"/>
      <c r="E9" s="206"/>
      <c r="F9" s="225"/>
      <c r="G9" s="187"/>
      <c r="H9" s="221"/>
      <c r="I9" s="194"/>
      <c r="J9" s="222"/>
      <c r="K9" s="222"/>
      <c r="L9" s="222"/>
    </row>
    <row r="10" spans="1:12" ht="15.75" hidden="1" customHeight="1" thickTop="1" x14ac:dyDescent="0.25">
      <c r="F10" s="223"/>
      <c r="H10" s="221"/>
      <c r="I10" s="194"/>
      <c r="J10" s="202"/>
      <c r="K10" s="202"/>
      <c r="L10" s="202"/>
    </row>
    <row r="11" spans="1:12" s="56" customFormat="1" ht="15.75" hidden="1" customHeight="1" thickBot="1" x14ac:dyDescent="0.3">
      <c r="A11" s="120"/>
      <c r="B11" s="120"/>
      <c r="C11" s="203" t="s">
        <v>159</v>
      </c>
      <c r="D11" s="230"/>
      <c r="E11" s="187"/>
      <c r="F11" s="220"/>
      <c r="G11" s="224"/>
      <c r="H11" s="221"/>
      <c r="I11" s="194"/>
      <c r="J11" s="187"/>
      <c r="K11" s="187"/>
      <c r="L11" s="187"/>
    </row>
    <row r="12" spans="1:12" s="56" customFormat="1" ht="16.5" hidden="1" customHeight="1" thickTop="1" thickBot="1" x14ac:dyDescent="0.25">
      <c r="C12" s="205" t="s">
        <v>611</v>
      </c>
      <c r="D12" s="230"/>
      <c r="E12" s="206"/>
      <c r="F12" s="225"/>
      <c r="G12" s="187"/>
      <c r="H12" s="221"/>
      <c r="I12" s="194"/>
      <c r="J12" s="222"/>
      <c r="K12" s="222"/>
      <c r="L12" s="222"/>
    </row>
    <row r="13" spans="1:12" ht="15.75" hidden="1" customHeight="1" thickTop="1" x14ac:dyDescent="0.25">
      <c r="F13" s="223"/>
      <c r="H13" s="221"/>
      <c r="I13" s="194"/>
      <c r="J13" s="202"/>
      <c r="K13" s="202"/>
      <c r="L13" s="202"/>
    </row>
    <row r="14" spans="1:12" s="56" customFormat="1" ht="15.75" hidden="1" customHeight="1" thickBot="1" x14ac:dyDescent="0.3">
      <c r="A14" s="120"/>
      <c r="B14" s="120"/>
      <c r="C14" s="203" t="s">
        <v>612</v>
      </c>
      <c r="D14" s="230"/>
      <c r="E14" s="187"/>
      <c r="F14" s="220"/>
      <c r="G14" s="187"/>
      <c r="H14" s="221"/>
      <c r="I14" s="194"/>
      <c r="K14" s="187"/>
      <c r="L14" s="187"/>
    </row>
    <row r="15" spans="1:12" s="56" customFormat="1" ht="16.5" hidden="1" customHeight="1" thickTop="1" thickBot="1" x14ac:dyDescent="0.25">
      <c r="C15" s="205" t="s">
        <v>613</v>
      </c>
      <c r="D15" s="230"/>
      <c r="E15" s="206"/>
      <c r="F15" s="225"/>
      <c r="G15" s="187"/>
      <c r="H15" s="221"/>
      <c r="I15" s="194"/>
      <c r="J15" s="222"/>
      <c r="K15" s="222"/>
      <c r="L15" s="222"/>
    </row>
    <row r="16" spans="1:12" ht="15.75" hidden="1" customHeight="1" thickTop="1" x14ac:dyDescent="0.25">
      <c r="F16" s="223"/>
      <c r="H16" s="221"/>
      <c r="I16" s="194"/>
      <c r="J16" s="202"/>
      <c r="K16" s="202"/>
      <c r="L16" s="202"/>
    </row>
    <row r="17" spans="1:12" s="56" customFormat="1" ht="15.75" hidden="1" customHeight="1" thickBot="1" x14ac:dyDescent="0.3">
      <c r="A17" s="120"/>
      <c r="B17" s="120"/>
      <c r="C17" s="203" t="s">
        <v>614</v>
      </c>
      <c r="D17" s="230"/>
      <c r="E17" s="187"/>
      <c r="F17" s="220"/>
      <c r="G17" s="187"/>
      <c r="H17" s="221"/>
      <c r="I17" s="194"/>
      <c r="J17" s="187"/>
      <c r="K17" s="187"/>
      <c r="L17" s="187"/>
    </row>
    <row r="18" spans="1:12" s="56" customFormat="1" ht="16.5" hidden="1" customHeight="1" thickTop="1" thickBot="1" x14ac:dyDescent="0.25">
      <c r="C18" s="205" t="s">
        <v>615</v>
      </c>
      <c r="D18" s="230"/>
      <c r="E18" s="206"/>
      <c r="F18" s="225"/>
      <c r="G18" s="187"/>
      <c r="H18" s="221"/>
      <c r="I18" s="194"/>
      <c r="J18" s="222"/>
      <c r="K18" s="222"/>
      <c r="L18" s="222"/>
    </row>
    <row r="19" spans="1:12" ht="15.75" hidden="1" customHeight="1" thickTop="1" x14ac:dyDescent="0.25">
      <c r="F19" s="223"/>
      <c r="G19" s="194"/>
      <c r="H19" s="221"/>
      <c r="I19" s="194"/>
      <c r="L19" s="194"/>
    </row>
    <row r="20" spans="1:12" s="56" customFormat="1" ht="15.75" customHeight="1" thickBot="1" x14ac:dyDescent="0.3">
      <c r="A20" s="120"/>
      <c r="B20" s="120"/>
      <c r="C20" s="203" t="str">
        <f>IF(Riepilogo!P34&gt;0,"OpzDeviceCal","")</f>
        <v/>
      </c>
      <c r="D20" s="230"/>
      <c r="E20" s="187"/>
      <c r="F20" s="220"/>
      <c r="G20" s="187"/>
      <c r="H20" s="221"/>
      <c r="I20" s="194"/>
      <c r="J20" s="187"/>
      <c r="K20" s="187"/>
      <c r="L20" s="187"/>
    </row>
    <row r="21" spans="1:12" s="56" customFormat="1" ht="16.5" customHeight="1" thickTop="1" thickBot="1" x14ac:dyDescent="0.25">
      <c r="C21" s="205" t="str">
        <f>IF(Riepilogo!P34&gt;0,"1-pack of Windows Server 2019/2016 Device CALs (STD or DC)","")</f>
        <v/>
      </c>
      <c r="D21" s="230"/>
      <c r="E21" s="206" t="str">
        <f>VLOOKUP($C21,TS3L2_ALL,13,FALSE)</f>
        <v/>
      </c>
      <c r="F21" s="207"/>
      <c r="G21" s="187"/>
      <c r="H21" s="221"/>
      <c r="I21" s="194"/>
      <c r="J21" s="222">
        <f>VLOOKUP($C21,TS3L2_ALL,10,FALSE)*F21</f>
        <v>0</v>
      </c>
      <c r="K21" s="222">
        <f>VLOOKUP($C21,TS3L2_ALL,11,FALSE)</f>
        <v>0</v>
      </c>
      <c r="L21" s="222" t="str">
        <f>VLOOKUP($C21,TS3L2_ALL,12,FALSE)</f>
        <v/>
      </c>
    </row>
    <row r="22" spans="1:12" ht="15.75" customHeight="1" thickTop="1" x14ac:dyDescent="0.25">
      <c r="F22" s="223"/>
      <c r="H22" s="221"/>
      <c r="I22" s="194"/>
    </row>
    <row r="23" spans="1:12" s="56" customFormat="1" ht="15.75" customHeight="1" thickBot="1" x14ac:dyDescent="0.3">
      <c r="A23" s="120"/>
      <c r="B23" s="120"/>
      <c r="C23" s="203" t="str">
        <f>IF(Riepilogo!P34&gt;0,"OpzUserCal","")</f>
        <v/>
      </c>
      <c r="D23" s="230"/>
      <c r="E23" s="187"/>
      <c r="F23" s="220"/>
      <c r="G23" s="187"/>
      <c r="H23" s="221"/>
      <c r="I23" s="194"/>
      <c r="J23" s="187"/>
      <c r="K23" s="187"/>
      <c r="L23" s="187"/>
    </row>
    <row r="24" spans="1:12" s="56" customFormat="1" ht="16.5" customHeight="1" thickTop="1" thickBot="1" x14ac:dyDescent="0.25">
      <c r="C24" s="205" t="str">
        <f>IF(Riepilogo!P34&gt;0,"1-pack of Windows Server 2019/2016 User CALs (STD or DC)","")</f>
        <v/>
      </c>
      <c r="D24" s="230"/>
      <c r="E24" s="206" t="str">
        <f>VLOOKUP($C24,TS3L2_ALL,13,FALSE)</f>
        <v/>
      </c>
      <c r="F24" s="207"/>
      <c r="G24" s="187"/>
      <c r="H24" s="221"/>
      <c r="I24" s="194"/>
      <c r="J24" s="222">
        <f>VLOOKUP($C24,TS3L2_ALL,10,FALSE)*F24</f>
        <v>0</v>
      </c>
      <c r="K24" s="222">
        <f>VLOOKUP($C24,TS3L2_ALL,11,FALSE)</f>
        <v>0</v>
      </c>
      <c r="L24" s="222" t="str">
        <f>VLOOKUP($C24,TS3L2_ALL,12,FALSE)</f>
        <v/>
      </c>
    </row>
    <row r="25" spans="1:12" ht="15.75" customHeight="1" thickTop="1" x14ac:dyDescent="0.25"/>
    <row r="27" spans="1:12" ht="15.75" hidden="1" customHeight="1" x14ac:dyDescent="0.25">
      <c r="C27" s="201"/>
    </row>
  </sheetData>
  <sheetProtection algorithmName="SHA-512" hashValue="1ouVzxWyfAoDUKOf5TUbHl15e/kwVQr6IKBRYVK+eKeiZaC/DMI82M/DYhdxWLHzqWjGo4+EYvFL0R/Cu6+RJg==" saltValue="/HOggLMIgmXPPaSmZa789w==" spinCount="100000" sheet="1"/>
  <mergeCells count="6">
    <mergeCell ref="D23:D24"/>
    <mergeCell ref="D8:D9"/>
    <mergeCell ref="D11:D12"/>
    <mergeCell ref="D14:D15"/>
    <mergeCell ref="D17:D18"/>
    <mergeCell ref="D20:D21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BCDFEED-9C3F-4911-83E0-3B15D25BC2DB}">
            <xm:f>Riepilogo!$P$34=0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C20:L24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6" filterMode="1">
    <tabColor rgb="FFFF0000"/>
    <pageSetUpPr fitToPage="1"/>
  </sheetPr>
  <dimension ref="A1:Y60"/>
  <sheetViews>
    <sheetView zoomScale="90" zoomScaleNormal="90" workbookViewId="0">
      <selection activeCell="D2" sqref="D2:G2"/>
    </sheetView>
  </sheetViews>
  <sheetFormatPr defaultColWidth="0" defaultRowHeight="12.75" zeroHeight="1" x14ac:dyDescent="0.2"/>
  <cols>
    <col min="1" max="1" width="1.7109375" style="56" customWidth="1"/>
    <col min="2" max="2" width="13.140625" style="79" bestFit="1" customWidth="1"/>
    <col min="3" max="4" width="29.7109375" style="79" customWidth="1"/>
    <col min="5" max="5" width="64.28515625" style="79" customWidth="1"/>
    <col min="6" max="6" width="15.85546875" style="79" customWidth="1"/>
    <col min="7" max="7" width="25" style="79" customWidth="1"/>
    <col min="8" max="8" width="1.7109375" style="79" customWidth="1"/>
    <col min="9" max="9" width="0.42578125" style="79" customWidth="1"/>
    <col min="10" max="10" width="9.140625" style="1" hidden="1"/>
    <col min="11" max="11" width="22.7109375" style="1" hidden="1"/>
    <col min="12" max="12" width="12.42578125" style="1" hidden="1"/>
    <col min="13" max="13" width="15" style="1" hidden="1"/>
    <col min="14" max="14" width="9" style="1" hidden="1"/>
    <col min="15" max="15" width="8" style="1" hidden="1"/>
    <col min="16" max="16" width="5.85546875" style="1" hidden="1"/>
    <col min="17" max="17" width="11.5703125" style="1" hidden="1"/>
    <col min="18" max="18" width="2" style="1" hidden="1"/>
    <col min="19" max="19" width="11.5703125" style="1" hidden="1"/>
    <col min="20" max="20" width="6.28515625" style="1" hidden="1"/>
    <col min="21" max="21" width="9.85546875" style="1" hidden="1"/>
    <col min="22" max="22" width="8" style="1" hidden="1"/>
    <col min="23" max="23" width="9.140625" style="1" hidden="1"/>
    <col min="24" max="24" width="11.42578125" style="1" hidden="1"/>
    <col min="25" max="16384" width="9.140625" style="1" hidden="1"/>
  </cols>
  <sheetData>
    <row r="1" spans="1:17" ht="13.5" customHeight="1" thickBot="1" x14ac:dyDescent="0.25">
      <c r="A1" s="57"/>
      <c r="B1" s="59"/>
      <c r="C1" s="59"/>
      <c r="D1" s="59"/>
      <c r="E1" s="59"/>
      <c r="F1" s="59"/>
      <c r="G1" s="59"/>
      <c r="H1" s="62"/>
      <c r="I1" s="56"/>
      <c r="J1" s="1">
        <v>1</v>
      </c>
    </row>
    <row r="2" spans="1:17" ht="24" thickBot="1" x14ac:dyDescent="0.4">
      <c r="A2" s="64"/>
      <c r="B2" s="279" t="s">
        <v>236</v>
      </c>
      <c r="C2" s="279"/>
      <c r="D2" s="278"/>
      <c r="E2" s="276"/>
      <c r="F2" s="276"/>
      <c r="G2" s="277"/>
      <c r="H2" s="65"/>
      <c r="I2" s="56"/>
      <c r="J2" s="1">
        <v>1</v>
      </c>
      <c r="L2" s="1" t="s">
        <v>243</v>
      </c>
      <c r="M2" s="1">
        <f>IF(D2&gt;0,0,1)</f>
        <v>1</v>
      </c>
    </row>
    <row r="3" spans="1:17" ht="13.5" thickBot="1" x14ac:dyDescent="0.25">
      <c r="A3" s="64"/>
      <c r="B3" s="81"/>
      <c r="C3" s="67"/>
      <c r="D3" s="67"/>
      <c r="E3" s="67"/>
      <c r="F3" s="68"/>
      <c r="G3" s="68"/>
      <c r="H3" s="65"/>
      <c r="I3" s="56"/>
      <c r="J3" s="1">
        <v>1</v>
      </c>
    </row>
    <row r="4" spans="1:17" ht="24" thickBot="1" x14ac:dyDescent="0.4">
      <c r="A4" s="64"/>
      <c r="B4" s="279" t="s">
        <v>237</v>
      </c>
      <c r="C4" s="279"/>
      <c r="D4" s="101"/>
      <c r="E4" s="118" t="str">
        <f>M7</f>
        <v>ERRORE DI MANCATA COMPILAZIONE DATI NECESSARI PER L'ORDINATIVO</v>
      </c>
      <c r="F4" s="68"/>
      <c r="G4" s="68"/>
      <c r="H4" s="65"/>
      <c r="I4" s="56"/>
      <c r="J4" s="1">
        <v>1</v>
      </c>
      <c r="L4" s="1" t="s">
        <v>244</v>
      </c>
      <c r="M4" s="1">
        <f>IF(D4&gt;0,0,1)</f>
        <v>1</v>
      </c>
    </row>
    <row r="5" spans="1:17" ht="13.5" thickBot="1" x14ac:dyDescent="0.25">
      <c r="A5" s="64"/>
      <c r="B5" s="66"/>
      <c r="C5" s="67"/>
      <c r="D5" s="82"/>
      <c r="E5" s="117" t="str">
        <f>M8</f>
        <v/>
      </c>
      <c r="F5" s="68"/>
      <c r="G5" s="68"/>
      <c r="H5" s="65"/>
      <c r="I5" s="56"/>
      <c r="J5" s="1">
        <v>1</v>
      </c>
    </row>
    <row r="6" spans="1:17" ht="24" customHeight="1" thickBot="1" x14ac:dyDescent="0.4">
      <c r="A6" s="64"/>
      <c r="B6" s="279" t="s">
        <v>238</v>
      </c>
      <c r="C6" s="279"/>
      <c r="D6" s="102"/>
      <c r="E6" s="99" t="str">
        <f>M9</f>
        <v/>
      </c>
      <c r="F6" s="68"/>
      <c r="G6" s="68"/>
      <c r="H6" s="65"/>
      <c r="I6" s="56"/>
      <c r="J6" s="1">
        <v>1</v>
      </c>
      <c r="L6" s="1" t="s">
        <v>251</v>
      </c>
      <c r="M6" s="1">
        <f>IF(D6&gt;0,0,1)</f>
        <v>1</v>
      </c>
    </row>
    <row r="7" spans="1:17" ht="13.5" thickBot="1" x14ac:dyDescent="0.25">
      <c r="A7" s="64"/>
      <c r="B7" s="66"/>
      <c r="C7" s="67"/>
      <c r="D7" s="82"/>
      <c r="E7" s="117" t="str">
        <f>M10</f>
        <v/>
      </c>
      <c r="F7" s="68"/>
      <c r="G7" s="68"/>
      <c r="H7" s="65"/>
      <c r="I7" s="56"/>
      <c r="J7" s="1">
        <v>1</v>
      </c>
      <c r="K7" s="1" t="s">
        <v>628</v>
      </c>
      <c r="L7" s="52" t="s">
        <v>252</v>
      </c>
      <c r="M7" s="116" t="str">
        <f>IF(M2+M4+M6+M11+M13+M16+M18+O18+O13,"ERRORE DI MANCATA COMPILAZIONE DATI NECESSARI PER L'ORDINATIVO","")</f>
        <v>ERRORE DI MANCATA COMPILAZIONE DATI NECESSARI PER L'ORDINATIVO</v>
      </c>
      <c r="N7" s="1">
        <f>IF(M7="",0,1)</f>
        <v>1</v>
      </c>
    </row>
    <row r="8" spans="1:17" ht="24" thickBot="1" x14ac:dyDescent="0.4">
      <c r="A8" s="64"/>
      <c r="B8" s="279" t="s">
        <v>255</v>
      </c>
      <c r="C8" s="279"/>
      <c r="D8" s="88">
        <f>G59</f>
        <v>0</v>
      </c>
      <c r="E8" s="83" t="str">
        <f>IF(Q11=0,"CONFIGURATORE OK", "")</f>
        <v/>
      </c>
      <c r="F8" s="68"/>
      <c r="G8" s="84" t="s">
        <v>632</v>
      </c>
      <c r="H8" s="65"/>
      <c r="I8" s="56"/>
      <c r="J8" s="1">
        <v>1</v>
      </c>
      <c r="K8" s="1" t="s">
        <v>629</v>
      </c>
      <c r="L8" s="52" t="s">
        <v>261</v>
      </c>
      <c r="M8" s="116" t="str">
        <f>IF(G56&gt;D56,"!!! ATTENZIONE !!! L'IMPORTO 20% SUPERA IL VALORE MASSIMO CONSENTITO","")</f>
        <v/>
      </c>
      <c r="N8" s="1">
        <f t="shared" ref="N8:N9" si="0">IF(M8="",0,1)</f>
        <v>0</v>
      </c>
    </row>
    <row r="9" spans="1:17" ht="13.5" thickBot="1" x14ac:dyDescent="0.25">
      <c r="A9" s="71"/>
      <c r="B9" s="72"/>
      <c r="C9" s="80"/>
      <c r="D9" s="73"/>
      <c r="E9" s="73"/>
      <c r="F9" s="74"/>
      <c r="G9" s="74"/>
      <c r="H9" s="75"/>
      <c r="I9" s="56"/>
      <c r="J9" s="1">
        <v>1</v>
      </c>
      <c r="L9" s="52" t="s">
        <v>253</v>
      </c>
      <c r="M9" s="51" t="str">
        <f>""</f>
        <v/>
      </c>
      <c r="N9" s="1">
        <f t="shared" si="0"/>
        <v>0</v>
      </c>
    </row>
    <row r="10" spans="1:17" ht="13.5" thickBot="1" x14ac:dyDescent="0.25">
      <c r="A10" s="57"/>
      <c r="B10" s="58"/>
      <c r="C10" s="59"/>
      <c r="D10" s="60"/>
      <c r="E10" s="60"/>
      <c r="F10" s="61"/>
      <c r="G10" s="61"/>
      <c r="H10" s="62"/>
      <c r="I10" s="63"/>
      <c r="J10" s="1">
        <v>1</v>
      </c>
      <c r="K10" s="1" t="s">
        <v>630</v>
      </c>
      <c r="L10" s="52" t="s">
        <v>260</v>
      </c>
      <c r="M10" s="116" t="str">
        <f>IF(N10&gt;0,"!!! ATTENZIONE !!! COMPLETARE IL CAMPO NOTE NELLE CONFIGURAZIONI","")</f>
        <v/>
      </c>
      <c r="N10" s="1">
        <f>IF(M22&gt;0,O10,0)+IF(N22&gt;0,P10,0)+IF(O22&gt;0,Q10,0)</f>
        <v>0</v>
      </c>
      <c r="O10" s="1">
        <f>IF(Lotto2_T640_1!$H$30="Specificare la configurazione RAID per l'installazione del Sistema Operativo, se richiesto.
e/o
inserire eventuali note.",1,0)</f>
        <v>1</v>
      </c>
      <c r="P10" s="1">
        <f>IF(Lotto2_T640_2!$H$30="Specificare la configurazione RAID per l'installazione del Sistema Operativo, se richiesto.
e/o
inserire eventuali note.",1,0)</f>
        <v>1</v>
      </c>
      <c r="Q10" s="1">
        <f>IF(Lotto2_T640_3!$H$30="Specificare la configurazione RAID per l'installazione del Sistema Operativo, se richiesto.
e/o
inserire eventuali note.",1,0)</f>
        <v>1</v>
      </c>
    </row>
    <row r="11" spans="1:17" ht="24" thickBot="1" x14ac:dyDescent="0.4">
      <c r="A11" s="64"/>
      <c r="B11" s="279" t="s">
        <v>239</v>
      </c>
      <c r="C11" s="279"/>
      <c r="D11" s="278"/>
      <c r="E11" s="276"/>
      <c r="F11" s="276"/>
      <c r="G11" s="277"/>
      <c r="H11" s="65"/>
      <c r="I11" s="63"/>
      <c r="J11" s="1">
        <v>1</v>
      </c>
      <c r="L11" s="1" t="s">
        <v>245</v>
      </c>
      <c r="M11" s="1">
        <f>IF(D11&gt;0,0,1)</f>
        <v>1</v>
      </c>
      <c r="O11" s="53" t="s">
        <v>254</v>
      </c>
      <c r="Q11" s="51">
        <f>N7+N9</f>
        <v>1</v>
      </c>
    </row>
    <row r="12" spans="1:17" ht="13.5" thickBot="1" x14ac:dyDescent="0.25">
      <c r="A12" s="64"/>
      <c r="B12" s="66"/>
      <c r="C12" s="67"/>
      <c r="D12" s="67"/>
      <c r="E12" s="67"/>
      <c r="F12" s="68"/>
      <c r="G12" s="68"/>
      <c r="H12" s="65"/>
      <c r="I12" s="63"/>
      <c r="J12" s="1">
        <v>1</v>
      </c>
    </row>
    <row r="13" spans="1:17" ht="24" thickBot="1" x14ac:dyDescent="0.4">
      <c r="A13" s="64"/>
      <c r="B13" s="69" t="s">
        <v>241</v>
      </c>
      <c r="C13" s="226"/>
      <c r="D13" s="70" t="s">
        <v>242</v>
      </c>
      <c r="E13" s="275"/>
      <c r="F13" s="276"/>
      <c r="G13" s="277"/>
      <c r="H13" s="65"/>
      <c r="I13" s="63"/>
      <c r="J13" s="1">
        <v>1</v>
      </c>
      <c r="L13" s="1" t="s">
        <v>246</v>
      </c>
      <c r="M13" s="1">
        <f>IF(C13&gt;0,0,1)</f>
        <v>1</v>
      </c>
      <c r="N13" s="1" t="s">
        <v>247</v>
      </c>
      <c r="O13" s="1">
        <f>IF(E13&gt;0,0,1)</f>
        <v>1</v>
      </c>
    </row>
    <row r="14" spans="1:17" ht="13.5" thickBot="1" x14ac:dyDescent="0.25">
      <c r="A14" s="71"/>
      <c r="B14" s="72"/>
      <c r="C14" s="73"/>
      <c r="D14" s="73"/>
      <c r="E14" s="73"/>
      <c r="F14" s="74"/>
      <c r="G14" s="74"/>
      <c r="H14" s="75"/>
      <c r="I14" s="63"/>
      <c r="J14" s="1">
        <v>1</v>
      </c>
    </row>
    <row r="15" spans="1:17" ht="13.5" thickBot="1" x14ac:dyDescent="0.25">
      <c r="A15" s="57"/>
      <c r="B15" s="58"/>
      <c r="C15" s="76"/>
      <c r="D15" s="77"/>
      <c r="E15" s="77"/>
      <c r="F15" s="78"/>
      <c r="G15" s="78"/>
      <c r="H15" s="62"/>
      <c r="I15" s="63"/>
      <c r="J15" s="1">
        <v>1</v>
      </c>
    </row>
    <row r="16" spans="1:17" ht="24" thickBot="1" x14ac:dyDescent="0.4">
      <c r="A16" s="64"/>
      <c r="B16" s="279" t="s">
        <v>240</v>
      </c>
      <c r="C16" s="279"/>
      <c r="D16" s="280"/>
      <c r="E16" s="281"/>
      <c r="F16" s="281"/>
      <c r="G16" s="282"/>
      <c r="H16" s="65"/>
      <c r="I16" s="63"/>
      <c r="J16" s="1">
        <v>1</v>
      </c>
      <c r="L16" s="1" t="s">
        <v>248</v>
      </c>
      <c r="M16" s="1">
        <f>IF(D16&gt;0,0,1)</f>
        <v>1</v>
      </c>
    </row>
    <row r="17" spans="1:25" ht="13.5" thickBot="1" x14ac:dyDescent="0.25">
      <c r="A17" s="64"/>
      <c r="B17" s="66"/>
      <c r="C17" s="67"/>
      <c r="D17" s="67"/>
      <c r="E17" s="67"/>
      <c r="F17" s="68"/>
      <c r="G17" s="68"/>
      <c r="H17" s="65"/>
      <c r="I17" s="63"/>
      <c r="J17" s="1">
        <v>1</v>
      </c>
    </row>
    <row r="18" spans="1:25" ht="24" thickBot="1" x14ac:dyDescent="0.4">
      <c r="A18" s="64"/>
      <c r="B18" s="69" t="s">
        <v>241</v>
      </c>
      <c r="C18" s="226"/>
      <c r="D18" s="70" t="s">
        <v>242</v>
      </c>
      <c r="E18" s="275"/>
      <c r="F18" s="276"/>
      <c r="G18" s="277"/>
      <c r="H18" s="65"/>
      <c r="I18" s="63"/>
      <c r="J18" s="1">
        <v>1</v>
      </c>
      <c r="L18" s="1" t="s">
        <v>249</v>
      </c>
      <c r="M18" s="1">
        <f>IF(C18&gt;0,0,1)</f>
        <v>1</v>
      </c>
      <c r="N18" s="1" t="s">
        <v>250</v>
      </c>
      <c r="O18" s="1">
        <f>IF(E18&gt;0,0,1)</f>
        <v>1</v>
      </c>
    </row>
    <row r="19" spans="1:25" ht="13.5" thickBot="1" x14ac:dyDescent="0.25">
      <c r="A19" s="71"/>
      <c r="B19" s="72"/>
      <c r="C19" s="73"/>
      <c r="D19" s="73"/>
      <c r="E19" s="73"/>
      <c r="F19" s="74"/>
      <c r="G19" s="74"/>
      <c r="H19" s="75"/>
      <c r="I19" s="63"/>
      <c r="J19" s="1">
        <v>1</v>
      </c>
    </row>
    <row r="20" spans="1:25" x14ac:dyDescent="0.2">
      <c r="A20" s="57"/>
      <c r="B20" s="58"/>
      <c r="C20" s="76"/>
      <c r="D20" s="76"/>
      <c r="E20" s="76"/>
      <c r="F20" s="61"/>
      <c r="G20" s="61"/>
      <c r="H20" s="62"/>
      <c r="I20" s="63"/>
      <c r="J20" s="1">
        <v>1</v>
      </c>
      <c r="M20" s="1" t="s">
        <v>222</v>
      </c>
      <c r="N20" s="1" t="s">
        <v>223</v>
      </c>
      <c r="O20" s="1" t="s">
        <v>224</v>
      </c>
      <c r="P20" s="1" t="s">
        <v>153</v>
      </c>
    </row>
    <row r="21" spans="1:25" ht="27" hidden="1" customHeight="1" thickBot="1" x14ac:dyDescent="0.25">
      <c r="A21" s="64"/>
      <c r="B21" s="272" t="s">
        <v>605</v>
      </c>
      <c r="C21" s="273"/>
      <c r="D21" s="273"/>
      <c r="E21" s="273"/>
      <c r="F21" s="273"/>
      <c r="G21" s="274"/>
      <c r="H21" s="65"/>
      <c r="I21" s="63"/>
      <c r="J21" s="1">
        <f>IF($G$55&gt;0,1,0)</f>
        <v>0</v>
      </c>
    </row>
    <row r="22" spans="1:25" ht="27" hidden="1" customHeight="1" thickBot="1" x14ac:dyDescent="0.25">
      <c r="A22" s="64"/>
      <c r="B22" s="87" t="s">
        <v>225</v>
      </c>
      <c r="C22" s="87" t="s">
        <v>226</v>
      </c>
      <c r="D22" s="87" t="s">
        <v>227</v>
      </c>
      <c r="E22" s="87" t="s">
        <v>228</v>
      </c>
      <c r="F22" s="87" t="s">
        <v>229</v>
      </c>
      <c r="G22" s="87" t="s">
        <v>230</v>
      </c>
      <c r="H22" s="65"/>
      <c r="I22" s="63"/>
      <c r="J22" s="1">
        <f>IF($G$55&gt;0,1,0)</f>
        <v>0</v>
      </c>
      <c r="K22" s="43" t="s">
        <v>19</v>
      </c>
      <c r="L22" s="43" t="s">
        <v>18</v>
      </c>
      <c r="M22" s="1">
        <f>Lotto2_T640_1!F5</f>
        <v>0</v>
      </c>
      <c r="N22" s="1">
        <f>Lotto2_T640_2!F5</f>
        <v>0</v>
      </c>
      <c r="O22" s="1">
        <f>Lotto2_T640_3!F5</f>
        <v>0</v>
      </c>
    </row>
    <row r="23" spans="1:25" ht="24" hidden="1" thickBot="1" x14ac:dyDescent="0.3">
      <c r="A23" s="64"/>
      <c r="B23" s="89" t="str">
        <f>IF(P23&gt;0,P23,"")</f>
        <v/>
      </c>
      <c r="C23" s="180" t="str">
        <f>IF(B23="","",VLOOKUP(L23,Tabella_prezzi!$A$3:$J$308,9,FALSE))</f>
        <v/>
      </c>
      <c r="D23" s="90" t="str">
        <f>IF(B23="","",VLOOKUP(L23,Tabella_prezzi!$A$3:$J$308,6,FALSE))</f>
        <v/>
      </c>
      <c r="E23" s="91" t="str">
        <f>IF(B23="","",VLOOKUP(L23,Tabella_prezzi!$A$3:$J$308,8,FALSE))</f>
        <v/>
      </c>
      <c r="F23" s="92" t="str">
        <f>IF(B23="","",VLOOKUP(L23,Tabella_prezzi!$A$3:$J$308,4,FALSE))</f>
        <v/>
      </c>
      <c r="G23" s="93" t="str">
        <f>IF(C23="","",F23*B23)</f>
        <v/>
      </c>
      <c r="H23" s="65"/>
      <c r="I23" s="63"/>
      <c r="J23" s="1">
        <f>IF(B23="",0,1)</f>
        <v>0</v>
      </c>
      <c r="K23" s="44" t="str">
        <f>VLOOKUP(L23,Tabella_prezzi!A2:J308,6,FALSE)</f>
        <v>TS3L2-SRV</v>
      </c>
      <c r="L23" s="45" t="s">
        <v>276</v>
      </c>
      <c r="M23" s="1">
        <f>COUNTIF($Q$23:$Q$61,L23)*$M$22</f>
        <v>0</v>
      </c>
      <c r="N23" s="1">
        <f>COUNTIF($S$23:$S$61,L23)*$N$22</f>
        <v>0</v>
      </c>
      <c r="O23" s="1">
        <f>COUNTIF($U$23:$U$61,L23)*$O$22</f>
        <v>0</v>
      </c>
      <c r="P23" s="1">
        <f t="shared" ref="P23:R54" si="1">SUM(M23:O23)</f>
        <v>0</v>
      </c>
      <c r="Q23" s="46" t="str">
        <f>Lotto2_T640_1!K8</f>
        <v>L2N01</v>
      </c>
      <c r="R23" s="47" t="str">
        <f>Lotto2_T640_1!F8</f>
        <v/>
      </c>
      <c r="S23" s="46" t="str">
        <f>Lotto2_T640_2!K8</f>
        <v>L2N01</v>
      </c>
      <c r="T23" s="47" t="str">
        <f>Lotto2_T640_2!F8</f>
        <v/>
      </c>
      <c r="U23" s="46" t="str">
        <f>Lotto2_T640_3!K8</f>
        <v>L2N01</v>
      </c>
      <c r="V23" s="47" t="str">
        <f>Lotto2_T640_3!F8</f>
        <v/>
      </c>
      <c r="X23" t="b">
        <f>ISODD(J23)</f>
        <v>0</v>
      </c>
      <c r="Y23" s="1" t="s">
        <v>533</v>
      </c>
    </row>
    <row r="24" spans="1:25" ht="24" hidden="1" thickBot="1" x14ac:dyDescent="0.3">
      <c r="A24" s="64"/>
      <c r="B24" s="89" t="str">
        <f t="shared" ref="B24:B54" si="2">IF(P24&gt;0,P24,"")</f>
        <v/>
      </c>
      <c r="C24" s="180" t="str">
        <f>IF(B24="","",VLOOKUP(L24,Tabella_prezzi!$A$3:$J$308,9,FALSE))</f>
        <v/>
      </c>
      <c r="D24" s="90" t="str">
        <f>IF(B24="","",VLOOKUP(L24,Tabella_prezzi!$A$3:$J$308,6,FALSE))</f>
        <v/>
      </c>
      <c r="E24" s="91" t="str">
        <f>IF(B24="","",VLOOKUP(L24,Tabella_prezzi!$A$3:$J$308,8,FALSE))</f>
        <v/>
      </c>
      <c r="F24" s="92" t="str">
        <f>IF(B24="","",VLOOKUP(L24,Tabella_prezzi!$A$3:$J$308,4,FALSE))</f>
        <v/>
      </c>
      <c r="G24" s="93" t="str">
        <f t="shared" ref="G24:G54" si="3">IF(C24="","",F24*B24)</f>
        <v/>
      </c>
      <c r="H24" s="65"/>
      <c r="I24" s="63"/>
      <c r="J24" s="1">
        <f t="shared" ref="J24:J54" si="4">IF(B24="",0,1)</f>
        <v>0</v>
      </c>
      <c r="K24" s="44" t="str">
        <f>VLOOKUP(L24,Tabella_prezzi!A3:J309,6,FALSE)</f>
        <v>TS3L2-CPU</v>
      </c>
      <c r="L24" s="48" t="s">
        <v>280</v>
      </c>
      <c r="M24" s="1">
        <f>COUNTIF($Q$23:$Q$61,L24)*$M$22*R24</f>
        <v>0</v>
      </c>
      <c r="N24" s="1">
        <f>COUNTIF($S$23:$S$61,L24)*$N$22*T24</f>
        <v>0</v>
      </c>
      <c r="O24" s="1">
        <f>COUNTIF($U$23:$U$61,L24)*$O$22*V24</f>
        <v>0</v>
      </c>
      <c r="P24" s="1">
        <f>SUM(M24:O24)</f>
        <v>0</v>
      </c>
      <c r="Q24" s="49" t="str">
        <f>Lotto2_T640_1!K20</f>
        <v/>
      </c>
      <c r="R24" s="50">
        <f>Lotto2_T640_1!F20</f>
        <v>0</v>
      </c>
      <c r="S24" s="49" t="str">
        <f>Lotto2_T640_2!K20</f>
        <v/>
      </c>
      <c r="T24" s="50">
        <f>Lotto2_T640_2!F20</f>
        <v>0</v>
      </c>
      <c r="U24" s="49" t="str">
        <f>Lotto2_T640_3!K20</f>
        <v/>
      </c>
      <c r="V24" s="50">
        <f>Lotto2_T640_3!F20</f>
        <v>0</v>
      </c>
      <c r="X24" t="b">
        <f>ISODD(SUM($J$23:J24))</f>
        <v>0</v>
      </c>
      <c r="Y24" s="1" t="s">
        <v>534</v>
      </c>
    </row>
    <row r="25" spans="1:25" ht="24" hidden="1" thickBot="1" x14ac:dyDescent="0.3">
      <c r="A25" s="64"/>
      <c r="B25" s="89" t="str">
        <f t="shared" si="2"/>
        <v/>
      </c>
      <c r="C25" s="180" t="str">
        <f>IF(B25="","",VLOOKUP(L25,Tabella_prezzi!$A$3:$J$308,9,FALSE))</f>
        <v/>
      </c>
      <c r="D25" s="90" t="str">
        <f>IF(B25="","",VLOOKUP(L25,Tabella_prezzi!$A$3:$J$308,6,FALSE))</f>
        <v/>
      </c>
      <c r="E25" s="91" t="str">
        <f>IF(B25="","",VLOOKUP(L25,Tabella_prezzi!$A$3:$J$308,8,FALSE))</f>
        <v/>
      </c>
      <c r="F25" s="92" t="str">
        <f>IF(B25="","",VLOOKUP(L25,Tabella_prezzi!$A$3:$J$308,4,FALSE))</f>
        <v/>
      </c>
      <c r="G25" s="93" t="str">
        <f t="shared" si="3"/>
        <v/>
      </c>
      <c r="H25" s="65"/>
      <c r="I25" s="63"/>
      <c r="J25" s="1">
        <f t="shared" si="4"/>
        <v>0</v>
      </c>
      <c r="K25" s="44" t="str">
        <f>VLOOKUP(L25,Tabella_prezzi!A4:J310,6,FALSE)</f>
        <v>TS3L2-RAM16</v>
      </c>
      <c r="L25" s="45" t="s">
        <v>285</v>
      </c>
      <c r="M25" s="1">
        <f>COUNTIF($Q$23:$Q$61,L25)*$M$22*R25</f>
        <v>0</v>
      </c>
      <c r="N25" s="1">
        <f>COUNTIF($S$23:$S$61,L25)*$N$22*T25</f>
        <v>0</v>
      </c>
      <c r="O25" s="1">
        <f>COUNTIF($U$23:$U$61,L25)*$O$22*V25</f>
        <v>0</v>
      </c>
      <c r="P25" s="1">
        <f t="shared" si="1"/>
        <v>0</v>
      </c>
      <c r="Q25" s="49" t="str">
        <f>Lotto2_T640_1!K23</f>
        <v/>
      </c>
      <c r="R25" s="47">
        <f>Lotto2_T640_1!F23</f>
        <v>0</v>
      </c>
      <c r="S25" s="46" t="str">
        <f>Lotto2_T640_2!K23</f>
        <v/>
      </c>
      <c r="T25" s="47">
        <f>Lotto2_T640_2!F23</f>
        <v>0</v>
      </c>
      <c r="U25" s="46" t="str">
        <f>Lotto2_T640_3!K23</f>
        <v/>
      </c>
      <c r="V25" s="47">
        <f>Lotto2_T640_3!F23</f>
        <v>0</v>
      </c>
      <c r="X25" t="b">
        <f>ISODD(SUM($J$23:J25))</f>
        <v>0</v>
      </c>
      <c r="Y25" s="1" t="s">
        <v>535</v>
      </c>
    </row>
    <row r="26" spans="1:25" ht="24" hidden="1" thickBot="1" x14ac:dyDescent="0.3">
      <c r="A26" s="64"/>
      <c r="B26" s="89" t="str">
        <f t="shared" si="2"/>
        <v/>
      </c>
      <c r="C26" s="180" t="str">
        <f>IF(B26="","",VLOOKUP(L26,Tabella_prezzi!$A$3:$J$308,9,FALSE))</f>
        <v/>
      </c>
      <c r="D26" s="90" t="str">
        <f>IF(B26="","",VLOOKUP(L26,Tabella_prezzi!$A$3:$J$308,6,FALSE))</f>
        <v/>
      </c>
      <c r="E26" s="91" t="str">
        <f>IF(B26="","",VLOOKUP(L26,Tabella_prezzi!$A$3:$J$308,8,FALSE))</f>
        <v/>
      </c>
      <c r="F26" s="92" t="str">
        <f>IF(B26="","",VLOOKUP(L26,Tabella_prezzi!$A$3:$J$308,4,FALSE))</f>
        <v/>
      </c>
      <c r="G26" s="93" t="str">
        <f t="shared" si="3"/>
        <v/>
      </c>
      <c r="H26" s="65"/>
      <c r="I26" s="63"/>
      <c r="J26" s="1">
        <f t="shared" si="4"/>
        <v>0</v>
      </c>
      <c r="K26" s="44" t="str">
        <f>VLOOKUP(L26,Tabella_prezzi!A5:J311,6,FALSE)</f>
        <v>TS3L2-LAN1</v>
      </c>
      <c r="L26" s="48" t="s">
        <v>289</v>
      </c>
      <c r="M26" s="1">
        <f>COUNTIF($Q$23:$Q$61,L26)*$M$22</f>
        <v>0</v>
      </c>
      <c r="N26" s="1">
        <f t="shared" ref="N26:N34" si="5">COUNTIF($S$23:$S$61,L26)*$N$22</f>
        <v>0</v>
      </c>
      <c r="O26" s="1">
        <f t="shared" ref="O26:O34" si="6">COUNTIF($U$23:$U$61,L26)*$O$22</f>
        <v>0</v>
      </c>
      <c r="P26" s="1">
        <f t="shared" si="1"/>
        <v>0</v>
      </c>
      <c r="Q26" s="46" t="str">
        <f>Lotto2_T640_1!K26</f>
        <v/>
      </c>
      <c r="R26" s="47" t="str">
        <f>Lotto2_T640_1!F26</f>
        <v/>
      </c>
      <c r="S26" s="46" t="str">
        <f>Lotto2_T640_2!K26</f>
        <v/>
      </c>
      <c r="T26" s="47" t="str">
        <f>Lotto2_T640_2!F26</f>
        <v/>
      </c>
      <c r="U26" s="46" t="str">
        <f>Lotto2_T640_3!K26</f>
        <v/>
      </c>
      <c r="V26" s="47" t="str">
        <f>Lotto2_T640_3!F26</f>
        <v/>
      </c>
      <c r="X26" t="b">
        <f>ISODD(SUM($J$23:J26))</f>
        <v>0</v>
      </c>
      <c r="Y26" s="1" t="s">
        <v>544</v>
      </c>
    </row>
    <row r="27" spans="1:25" ht="24" hidden="1" thickBot="1" x14ac:dyDescent="0.3">
      <c r="A27" s="64"/>
      <c r="B27" s="89" t="str">
        <f t="shared" si="2"/>
        <v/>
      </c>
      <c r="C27" s="180" t="str">
        <f>IF(B27="","",VLOOKUP(L27,Tabella_prezzi!$A$3:$J$308,9,FALSE))</f>
        <v/>
      </c>
      <c r="D27" s="90" t="str">
        <f>IF(B27="","",VLOOKUP(L27,Tabella_prezzi!$A$3:$J$308,6,FALSE))</f>
        <v/>
      </c>
      <c r="E27" s="91" t="str">
        <f>IF(B27="","",VLOOKUP(L27,Tabella_prezzi!$A$3:$J$308,8,FALSE))</f>
        <v/>
      </c>
      <c r="F27" s="92" t="str">
        <f>IF(B27="","",VLOOKUP(L27,Tabella_prezzi!$A$3:$J$308,4,FALSE))</f>
        <v/>
      </c>
      <c r="G27" s="93" t="str">
        <f t="shared" si="3"/>
        <v/>
      </c>
      <c r="H27" s="65"/>
      <c r="I27" s="63"/>
      <c r="J27" s="1">
        <f t="shared" si="4"/>
        <v>0</v>
      </c>
      <c r="K27" s="44" t="str">
        <f>VLOOKUP(L27,Tabella_prezzi!A6:J312,6,FALSE)</f>
        <v>TS3L2-HDD2TB</v>
      </c>
      <c r="L27" s="45" t="s">
        <v>291</v>
      </c>
      <c r="M27" s="1">
        <f>COUNTIF($Q$23:$Q$61,L27)*$M$22*R27</f>
        <v>0</v>
      </c>
      <c r="N27" s="1">
        <f>COUNTIF($S$23:$S$61,L27)*$N$22*T27</f>
        <v>0</v>
      </c>
      <c r="O27" s="1">
        <f>COUNTIF($U$23:$U$61,L27)*$O$22*V27</f>
        <v>0</v>
      </c>
      <c r="P27" s="1">
        <f t="shared" si="1"/>
        <v>0</v>
      </c>
      <c r="Q27" s="46" t="str">
        <f>Lotto2_T640_1!K34</f>
        <v>L2N05</v>
      </c>
      <c r="R27" s="153">
        <f>Lotto2_T640_1!F34</f>
        <v>0</v>
      </c>
      <c r="S27" s="46" t="str">
        <f>Lotto2_T640_2!K34</f>
        <v>L2N05</v>
      </c>
      <c r="T27" s="47">
        <f>Lotto2_T640_2!F34</f>
        <v>0</v>
      </c>
      <c r="U27" s="46" t="str">
        <f>Lotto2_T640_3!K34</f>
        <v>L2N05</v>
      </c>
      <c r="V27" s="46">
        <f>Lotto2_T640_3!F34</f>
        <v>0</v>
      </c>
      <c r="X27" t="b">
        <f>ISODD(SUM($J$23:J27))</f>
        <v>0</v>
      </c>
      <c r="Y27" s="1" t="s">
        <v>546</v>
      </c>
    </row>
    <row r="28" spans="1:25" ht="24" hidden="1" thickBot="1" x14ac:dyDescent="0.3">
      <c r="A28" s="64"/>
      <c r="B28" s="89" t="str">
        <f t="shared" si="2"/>
        <v/>
      </c>
      <c r="C28" s="180" t="str">
        <f>IF(B28="","",VLOOKUP(L28,Tabella_prezzi!$A$3:$J$308,9,FALSE))</f>
        <v/>
      </c>
      <c r="D28" s="90" t="str">
        <f>IF(B28="","",VLOOKUP(L28,Tabella_prezzi!$A$3:$J$308,6,FALSE))</f>
        <v/>
      </c>
      <c r="E28" s="91" t="str">
        <f>IF(B28="","",VLOOKUP(L28,Tabella_prezzi!$A$3:$J$308,8,FALSE))</f>
        <v/>
      </c>
      <c r="F28" s="92" t="str">
        <f>IF(B28="","",VLOOKUP(L28,Tabella_prezzi!$A$3:$J$308,4,FALSE))</f>
        <v/>
      </c>
      <c r="G28" s="93" t="str">
        <f t="shared" si="3"/>
        <v/>
      </c>
      <c r="H28" s="65"/>
      <c r="I28" s="63"/>
      <c r="J28" s="1">
        <f t="shared" si="4"/>
        <v>0</v>
      </c>
      <c r="K28" s="44" t="str">
        <f>VLOOKUP(L28,Tabella_prezzi!A7:J313,6,FALSE)</f>
        <v>TS3L2-HDD1TB</v>
      </c>
      <c r="L28" s="48" t="s">
        <v>293</v>
      </c>
      <c r="M28" s="1">
        <f>COUNTIF($Q$23:$Q$61,L28)*$M$22*R28</f>
        <v>0</v>
      </c>
      <c r="N28" s="1">
        <f>COUNTIF($S$23:$S$61,L28)*$N$22*T28</f>
        <v>0</v>
      </c>
      <c r="O28" s="1">
        <f>COUNTIF($U$23:$U$61,L28)*$O$22*V28</f>
        <v>0</v>
      </c>
      <c r="P28" s="1">
        <f t="shared" si="1"/>
        <v>0</v>
      </c>
      <c r="Q28" s="46" t="str">
        <f>Lotto2_T640_1!K36</f>
        <v>L2N06</v>
      </c>
      <c r="R28" s="153">
        <f>Lotto2_T640_1!F36</f>
        <v>0</v>
      </c>
      <c r="S28" s="46" t="str">
        <f>Lotto2_T640_2!K36</f>
        <v>L2N06</v>
      </c>
      <c r="T28" s="47">
        <f>Lotto2_T640_2!F36</f>
        <v>0</v>
      </c>
      <c r="U28" s="46" t="str">
        <f>Lotto2_T640_3!K36</f>
        <v>L2N06</v>
      </c>
      <c r="V28" s="46">
        <f>Lotto2_T640_3!F36</f>
        <v>0</v>
      </c>
      <c r="X28" t="b">
        <f>ISODD(SUM($J$23:J28))</f>
        <v>0</v>
      </c>
      <c r="Y28" s="1" t="s">
        <v>547</v>
      </c>
    </row>
    <row r="29" spans="1:25" ht="24" hidden="1" thickBot="1" x14ac:dyDescent="0.3">
      <c r="A29" s="55"/>
      <c r="B29" s="89" t="str">
        <f t="shared" si="2"/>
        <v/>
      </c>
      <c r="C29" s="180" t="str">
        <f>IF(B29="","",VLOOKUP(L29,Tabella_prezzi!$A$3:$J$308,9,FALSE))</f>
        <v/>
      </c>
      <c r="D29" s="90" t="str">
        <f>IF(B29="","",VLOOKUP(L29,Tabella_prezzi!$A$3:$J$308,6,FALSE))</f>
        <v/>
      </c>
      <c r="E29" s="91" t="str">
        <f>IF(B29="","",VLOOKUP(L29,Tabella_prezzi!$A$3:$J$308,8,FALSE))</f>
        <v/>
      </c>
      <c r="F29" s="92" t="str">
        <f>IF(B29="","",VLOOKUP(L29,Tabella_prezzi!$A$3:$J$308,4,FALSE))</f>
        <v/>
      </c>
      <c r="G29" s="93" t="str">
        <f t="shared" si="3"/>
        <v/>
      </c>
      <c r="H29" s="54"/>
      <c r="I29" s="26"/>
      <c r="J29" s="1">
        <f t="shared" si="4"/>
        <v>0</v>
      </c>
      <c r="K29" s="44" t="str">
        <f>VLOOKUP(L29,Tabella_prezzi!A8:J314,6,FALSE)</f>
        <v>TS3L2-HDD300GB</v>
      </c>
      <c r="L29" s="45" t="s">
        <v>297</v>
      </c>
      <c r="M29" s="1">
        <f>COUNTIF($Q$23:$Q$61,L29)*$M$22*R29</f>
        <v>0</v>
      </c>
      <c r="N29" s="1">
        <f>COUNTIF($S$23:$S$61,L29)*$N$22*T29</f>
        <v>0</v>
      </c>
      <c r="O29" s="1">
        <f>COUNTIF($U$23:$U$61,L29)*$O$22*V29</f>
        <v>0</v>
      </c>
      <c r="P29" s="1">
        <f t="shared" si="1"/>
        <v>0</v>
      </c>
      <c r="Q29" s="46" t="str">
        <f>Lotto2_T640_1!K38</f>
        <v>L2N07</v>
      </c>
      <c r="R29" s="153">
        <f>Lotto2_T640_1!F38</f>
        <v>0</v>
      </c>
      <c r="S29" s="46" t="str">
        <f>Lotto2_T640_2!K38</f>
        <v>L2N07</v>
      </c>
      <c r="T29" s="47">
        <f>Lotto2_T640_2!F38</f>
        <v>0</v>
      </c>
      <c r="U29" s="46" t="str">
        <f>Lotto2_T640_3!K38</f>
        <v>L2N07</v>
      </c>
      <c r="V29" s="46">
        <f>Lotto2_T640_3!F38</f>
        <v>0</v>
      </c>
      <c r="X29" t="b">
        <f>ISODD(SUM($J$23:J29))</f>
        <v>0</v>
      </c>
      <c r="Y29" s="1" t="s">
        <v>548</v>
      </c>
    </row>
    <row r="30" spans="1:25" ht="24" hidden="1" thickBot="1" x14ac:dyDescent="0.3">
      <c r="A30" s="64"/>
      <c r="B30" s="89" t="str">
        <f t="shared" si="2"/>
        <v/>
      </c>
      <c r="C30" s="180" t="str">
        <f>IF(B30="","",VLOOKUP(L30,Tabella_prezzi!$A$3:$J$308,9,FALSE))</f>
        <v/>
      </c>
      <c r="D30" s="90" t="str">
        <f>IF(B30="","",VLOOKUP(L30,Tabella_prezzi!$A$3:$J$308,6,FALSE))</f>
        <v/>
      </c>
      <c r="E30" s="91" t="str">
        <f>IF(B30="","",VLOOKUP(L30,Tabella_prezzi!$A$3:$J$308,8,FALSE))</f>
        <v/>
      </c>
      <c r="F30" s="92" t="str">
        <f>IF(B30="","",VLOOKUP(L30,Tabella_prezzi!$A$3:$J$308,4,FALSE))</f>
        <v/>
      </c>
      <c r="G30" s="93" t="str">
        <f t="shared" si="3"/>
        <v/>
      </c>
      <c r="H30" s="65"/>
      <c r="I30" s="63"/>
      <c r="J30" s="1">
        <f t="shared" si="4"/>
        <v>0</v>
      </c>
      <c r="K30" s="44" t="str">
        <f>VLOOKUP(L30,Tabella_prezzi!A9:J315,6,FALSE)</f>
        <v>TS3L2-RI800GB</v>
      </c>
      <c r="L30" s="48" t="s">
        <v>302</v>
      </c>
      <c r="M30" s="1">
        <f>COUNTIF($Q$23:$Q$61,L30)*$M$22*R30</f>
        <v>0</v>
      </c>
      <c r="N30" s="1">
        <f>COUNTIF($S$23:$S$61,L30)*$N$22*T30</f>
        <v>0</v>
      </c>
      <c r="O30" s="1">
        <f>COUNTIF($U$23:$U$61,L30)*$O$22*V30</f>
        <v>0</v>
      </c>
      <c r="P30" s="1">
        <f t="shared" si="1"/>
        <v>0</v>
      </c>
      <c r="Q30" s="46" t="str">
        <f>Lotto2_T640_1!K40</f>
        <v>L2N08</v>
      </c>
      <c r="R30" s="153">
        <f>IF(Lotto2_T640_1!F40&gt;2,Lotto2_T640_1!F40-2,0)</f>
        <v>0</v>
      </c>
      <c r="S30" s="46" t="str">
        <f>Lotto2_T640_2!K40</f>
        <v>L2N08</v>
      </c>
      <c r="T30" s="47">
        <f>IF(Lotto2_T640_2!F40&gt;2,Lotto2_T640_2!F40-2,0)</f>
        <v>0</v>
      </c>
      <c r="U30" s="46" t="str">
        <f>Lotto2_T640_3!K40</f>
        <v>L2N08</v>
      </c>
      <c r="V30" s="46">
        <f>IF(Lotto2_T640_3!F40&gt;2,Lotto2_T640_3!F40-2,0)</f>
        <v>0</v>
      </c>
      <c r="X30" t="b">
        <f>ISODD(SUM($J$23:J30))</f>
        <v>0</v>
      </c>
      <c r="Y30" s="1" t="s">
        <v>549</v>
      </c>
    </row>
    <row r="31" spans="1:25" ht="24" hidden="1" thickBot="1" x14ac:dyDescent="0.3">
      <c r="A31" s="64"/>
      <c r="B31" s="89" t="str">
        <f t="shared" si="2"/>
        <v/>
      </c>
      <c r="C31" s="180" t="str">
        <f>IF(B31="","",VLOOKUP(L31,Tabella_prezzi!$A$3:$J$308,9,FALSE))</f>
        <v/>
      </c>
      <c r="D31" s="90" t="str">
        <f>IF(B31="","",VLOOKUP(L31,Tabella_prezzi!$A$3:$J$308,6,FALSE))</f>
        <v/>
      </c>
      <c r="E31" s="91" t="str">
        <f>IF(B31="","",VLOOKUP(L31,Tabella_prezzi!$A$3:$J$308,8,FALSE))</f>
        <v/>
      </c>
      <c r="F31" s="92" t="str">
        <f>IF(B31="","",VLOOKUP(L31,Tabella_prezzi!$A$3:$J$308,4,FALSE))</f>
        <v/>
      </c>
      <c r="G31" s="93" t="str">
        <f t="shared" si="3"/>
        <v/>
      </c>
      <c r="H31" s="65"/>
      <c r="I31" s="63"/>
      <c r="J31" s="1">
        <f t="shared" si="4"/>
        <v>0</v>
      </c>
      <c r="K31" s="44" t="str">
        <f>VLOOKUP(L31,Tabella_prezzi!A10:J316,6,FALSE)</f>
        <v>TS3L2-RI400GB</v>
      </c>
      <c r="L31" s="45" t="s">
        <v>305</v>
      </c>
      <c r="M31" s="46">
        <f>IF(R31&gt;2,COUNTIF($Q$23:$Q$61,L31)*$M$22*R31-2,0)</f>
        <v>0</v>
      </c>
      <c r="N31" s="46">
        <f>IF(T31&gt;2,COUNTIF($S$23:$S$61,L31)*$N$22*T31-2,0)</f>
        <v>0</v>
      </c>
      <c r="O31" s="1">
        <f>IF(T31&gt;2,COUNTIF($U$23:$U$61,L31)*$O$22*V31-2,0)</f>
        <v>0</v>
      </c>
      <c r="P31" s="1">
        <f t="shared" si="1"/>
        <v>0</v>
      </c>
      <c r="Q31" s="46" t="str">
        <f>Lotto2_T640_1!K42</f>
        <v>L2N09</v>
      </c>
      <c r="R31" s="153">
        <f>Lotto2_T640_1!F42</f>
        <v>0</v>
      </c>
      <c r="S31" s="46" t="str">
        <f>Lotto2_T640_2!K42</f>
        <v>L2N09</v>
      </c>
      <c r="T31" s="47">
        <f>Lotto2_T640_2!F42</f>
        <v>0</v>
      </c>
      <c r="U31" s="46" t="str">
        <f>Lotto2_T640_3!K42</f>
        <v>L2N09</v>
      </c>
      <c r="V31" s="46">
        <f>Lotto2_T640_3!F42</f>
        <v>0</v>
      </c>
      <c r="X31" t="b">
        <f>ISODD(SUM($J$23:J31))</f>
        <v>0</v>
      </c>
      <c r="Y31" s="1" t="s">
        <v>550</v>
      </c>
    </row>
    <row r="32" spans="1:25" ht="24" hidden="1" thickBot="1" x14ac:dyDescent="0.3">
      <c r="A32" s="64"/>
      <c r="B32" s="89" t="str">
        <f t="shared" si="2"/>
        <v/>
      </c>
      <c r="C32" s="180" t="str">
        <f>IF(B32="","",VLOOKUP(L32,Tabella_prezzi!$A$3:$J$308,9,FALSE))</f>
        <v/>
      </c>
      <c r="D32" s="90" t="str">
        <f>IF(B32="","",VLOOKUP(L32,Tabella_prezzi!$A$3:$J$308,6,FALSE))</f>
        <v/>
      </c>
      <c r="E32" s="91" t="str">
        <f>IF(B32="","",VLOOKUP(L32,Tabella_prezzi!$A$3:$J$308,8,FALSE))</f>
        <v/>
      </c>
      <c r="F32" s="92" t="str">
        <f>IF(B32="","",VLOOKUP(L32,Tabella_prezzi!$A$3:$J$308,4,FALSE))</f>
        <v/>
      </c>
      <c r="G32" s="93" t="str">
        <f t="shared" si="3"/>
        <v/>
      </c>
      <c r="H32" s="65"/>
      <c r="I32" s="63"/>
      <c r="J32" s="1">
        <f t="shared" si="4"/>
        <v>0</v>
      </c>
      <c r="K32" s="44" t="str">
        <f>VLOOKUP(L32,Tabella_prezzi!A11:J317,6,FALSE)</f>
        <v>TS3L2-UPS</v>
      </c>
      <c r="L32" s="48" t="s">
        <v>308</v>
      </c>
      <c r="M32" s="1">
        <f>COUNTIF($Q$23:$Q$61,L32)*$M$22</f>
        <v>0</v>
      </c>
      <c r="N32" s="1">
        <f t="shared" si="5"/>
        <v>0</v>
      </c>
      <c r="O32" s="1">
        <f t="shared" si="6"/>
        <v>0</v>
      </c>
      <c r="P32" s="1">
        <f t="shared" si="1"/>
        <v>0</v>
      </c>
      <c r="Q32" s="46" t="str">
        <f>Lotto2_T640_1!K54</f>
        <v/>
      </c>
      <c r="R32" s="47" t="str">
        <f>Lotto2_T640_1!F54</f>
        <v/>
      </c>
      <c r="S32" s="46" t="str">
        <f>Lotto2_T640_2!K54</f>
        <v/>
      </c>
      <c r="T32" s="47" t="str">
        <f>Lotto2_T640_2!F54</f>
        <v/>
      </c>
      <c r="U32" s="46" t="str">
        <f>Lotto2_T640_3!K54</f>
        <v/>
      </c>
      <c r="V32" s="46" t="str">
        <f>Lotto2_T640_3!F54</f>
        <v/>
      </c>
      <c r="X32" t="b">
        <f>ISODD(SUM($J$23:J32))</f>
        <v>0</v>
      </c>
      <c r="Y32" s="1" t="s">
        <v>536</v>
      </c>
    </row>
    <row r="33" spans="1:25" ht="24" hidden="1" thickBot="1" x14ac:dyDescent="0.3">
      <c r="A33" s="64"/>
      <c r="B33" s="89" t="str">
        <f t="shared" si="2"/>
        <v/>
      </c>
      <c r="C33" s="180" t="str">
        <f>IF(B33="","",VLOOKUP(L33,Tabella_prezzi!$A$3:$J$308,9,FALSE))</f>
        <v/>
      </c>
      <c r="D33" s="90" t="str">
        <f>IF(B33="","",VLOOKUP(L33,Tabella_prezzi!$A$3:$J$308,6,FALSE))</f>
        <v/>
      </c>
      <c r="E33" s="91" t="str">
        <f>IF(B33="","",VLOOKUP(L33,Tabella_prezzi!$A$3:$J$308,8,FALSE))</f>
        <v/>
      </c>
      <c r="F33" s="92" t="str">
        <f>IF(B33="","",VLOOKUP(L33,Tabella_prezzi!$A$3:$J$308,4,FALSE))</f>
        <v/>
      </c>
      <c r="G33" s="93" t="str">
        <f t="shared" si="3"/>
        <v/>
      </c>
      <c r="H33" s="65"/>
      <c r="I33" s="63"/>
      <c r="J33" s="1">
        <f t="shared" si="4"/>
        <v>0</v>
      </c>
      <c r="K33" s="44" t="str">
        <f>VLOOKUP(L33,Tabella_prezzi!A12:J318,6,FALSE)</f>
        <v>TS3L2-GUI</v>
      </c>
      <c r="L33" s="45" t="s">
        <v>310</v>
      </c>
      <c r="M33" s="1">
        <f>COUNTIF($Q$23:$Q$61,L33)*$M$22</f>
        <v>0</v>
      </c>
      <c r="N33" s="1">
        <f t="shared" si="5"/>
        <v>0</v>
      </c>
      <c r="O33" s="1">
        <f t="shared" si="6"/>
        <v>0</v>
      </c>
      <c r="P33" s="1">
        <f t="shared" si="1"/>
        <v>0</v>
      </c>
      <c r="Q33" s="46" t="str">
        <f>Lotto2_T640_1!K57</f>
        <v/>
      </c>
      <c r="R33" s="47" t="str">
        <f>Lotto2_T640_1!F57</f>
        <v/>
      </c>
      <c r="S33" s="46" t="str">
        <f>Lotto2_T640_2!K57</f>
        <v/>
      </c>
      <c r="T33" s="47" t="str">
        <f>Lotto2_T640_2!F57</f>
        <v/>
      </c>
      <c r="U33" s="46" t="str">
        <f>Lotto2_T640_3!K57</f>
        <v/>
      </c>
      <c r="V33" s="46" t="str">
        <f>Lotto2_T640_3!F57</f>
        <v/>
      </c>
      <c r="X33" t="b">
        <f>ISODD(SUM($J$23:J33))</f>
        <v>0</v>
      </c>
      <c r="Y33" s="1" t="s">
        <v>537</v>
      </c>
    </row>
    <row r="34" spans="1:25" ht="24" hidden="1" thickBot="1" x14ac:dyDescent="0.3">
      <c r="A34" s="64"/>
      <c r="B34" s="89" t="str">
        <f t="shared" si="2"/>
        <v/>
      </c>
      <c r="C34" s="180" t="str">
        <f>IF(B34="","",VLOOKUP(L34,Tabella_prezzi!$A$3:$J$308,9,FALSE))</f>
        <v/>
      </c>
      <c r="D34" s="90" t="str">
        <f>IF(B34="","",VLOOKUP(L34,Tabella_prezzi!$A$3:$J$308,6,FALSE))</f>
        <v/>
      </c>
      <c r="E34" s="91" t="str">
        <f>IF(B34="","",VLOOKUP(L34,Tabella_prezzi!$A$3:$J$308,8,FALSE))</f>
        <v/>
      </c>
      <c r="F34" s="92" t="str">
        <f>IF(B34="","",VLOOKUP(L34,Tabella_prezzi!$A$3:$J$308,4,FALSE))</f>
        <v/>
      </c>
      <c r="G34" s="93" t="str">
        <f t="shared" si="3"/>
        <v/>
      </c>
      <c r="H34" s="65"/>
      <c r="I34" s="63"/>
      <c r="J34" s="1">
        <f t="shared" si="4"/>
        <v>0</v>
      </c>
      <c r="K34" s="44" t="str">
        <f>VLOOKUP(L34,Tabella_prezzi!A13:J319,6,FALSE)</f>
        <v>TS3L2-WINSRVSTD</v>
      </c>
      <c r="L34" s="48" t="s">
        <v>312</v>
      </c>
      <c r="M34" s="1">
        <f>COUNTIF($Q$23:$Q$61,L34)*$M$22</f>
        <v>0</v>
      </c>
      <c r="N34" s="1">
        <f t="shared" si="5"/>
        <v>0</v>
      </c>
      <c r="O34" s="1">
        <f t="shared" si="6"/>
        <v>0</v>
      </c>
      <c r="P34" s="1">
        <f t="shared" si="1"/>
        <v>0</v>
      </c>
      <c r="Q34" s="46" t="str">
        <f>Lotto2_T640_1!K60</f>
        <v/>
      </c>
      <c r="R34" s="47" t="str">
        <f>Lotto2_T640_1!F60</f>
        <v/>
      </c>
      <c r="S34" s="46" t="str">
        <f>Lotto2_T640_2!K60</f>
        <v/>
      </c>
      <c r="T34" s="47" t="str">
        <f>Lotto2_T640_2!F60</f>
        <v/>
      </c>
      <c r="U34" s="46" t="str">
        <f>Lotto2_T640_3!K60</f>
        <v/>
      </c>
      <c r="V34" s="46" t="str">
        <f>Lotto2_T640_3!F60</f>
        <v/>
      </c>
      <c r="X34" t="b">
        <f>ISODD(SUM($J$23:J34))</f>
        <v>0</v>
      </c>
      <c r="Y34" s="1" t="s">
        <v>538</v>
      </c>
    </row>
    <row r="35" spans="1:25" ht="24" hidden="1" thickBot="1" x14ac:dyDescent="0.3">
      <c r="A35" s="55"/>
      <c r="B35" s="89" t="str">
        <f t="shared" si="2"/>
        <v/>
      </c>
      <c r="C35" s="180" t="str">
        <f>IF(B35="","",VLOOKUP(L35,Tabella_prezzi!$A$3:$J$308,9,FALSE))</f>
        <v/>
      </c>
      <c r="D35" s="90" t="str">
        <f>IF(B35="","",VLOOKUP(L35,Tabella_prezzi!$A$3:$J$308,6,FALSE))</f>
        <v/>
      </c>
      <c r="E35" s="91" t="str">
        <f>IF(B35="","",VLOOKUP(L35,Tabella_prezzi!$A$3:$J$308,8,FALSE))</f>
        <v/>
      </c>
      <c r="F35" s="92" t="str">
        <f>IF(B35="","",VLOOKUP(L35,Tabella_prezzi!$A$3:$J$308,4,FALSE))</f>
        <v/>
      </c>
      <c r="G35" s="93" t="str">
        <f t="shared" si="3"/>
        <v/>
      </c>
      <c r="H35" s="54"/>
      <c r="I35" s="26"/>
      <c r="J35" s="1">
        <f t="shared" si="4"/>
        <v>0</v>
      </c>
      <c r="K35" s="44" t="str">
        <f>VLOOKUP(L35,Tabella_prezzi!A14:J320,6,FALSE)</f>
        <v>TS3L2-WINSRV2C</v>
      </c>
      <c r="L35" s="45" t="s">
        <v>317</v>
      </c>
      <c r="M35" s="172">
        <f>COUNTIF($Q$23:$Q$61,L35)*$M$22*R40</f>
        <v>0</v>
      </c>
      <c r="N35" s="172">
        <f>COUNTIF($S$23:$S$61,L35)*$N$22*T40</f>
        <v>0</v>
      </c>
      <c r="O35" s="172">
        <f>COUNTIF($U$23:$U$61,L35)*$O$22*V40</f>
        <v>0</v>
      </c>
      <c r="P35" s="172">
        <f t="shared" si="1"/>
        <v>0</v>
      </c>
      <c r="Q35" s="46">
        <f>Lotto2_T640_1!K63</f>
        <v>0</v>
      </c>
      <c r="R35" s="47" t="str">
        <f>Lotto2_T640_1!F63</f>
        <v/>
      </c>
      <c r="S35" s="46">
        <f>Lotto2_T640_2!K63</f>
        <v>0</v>
      </c>
      <c r="T35" s="47" t="str">
        <f>Lotto2_T640_2!F63</f>
        <v/>
      </c>
      <c r="U35" s="46">
        <f>Lotto2_T640_3!K63</f>
        <v>0</v>
      </c>
      <c r="V35" s="46" t="str">
        <f>Lotto2_T640_3!F63</f>
        <v/>
      </c>
      <c r="X35" t="b">
        <f>ISODD(SUM($J$23:J35))</f>
        <v>0</v>
      </c>
      <c r="Y35" s="1" t="s">
        <v>539</v>
      </c>
    </row>
    <row r="36" spans="1:25" ht="24" hidden="1" thickBot="1" x14ac:dyDescent="0.3">
      <c r="A36" s="55"/>
      <c r="B36" s="89" t="str">
        <f t="shared" si="2"/>
        <v/>
      </c>
      <c r="C36" s="180" t="str">
        <f>IF(B36="","",VLOOKUP(L36,Tabella_prezzi!$A$3:$J$308,9,FALSE))</f>
        <v/>
      </c>
      <c r="D36" s="90" t="str">
        <f>IF(B36="","",VLOOKUP(L36,Tabella_prezzi!$A$3:$J$308,6,FALSE))</f>
        <v/>
      </c>
      <c r="E36" s="91" t="str">
        <f>IF(B36="","",VLOOKUP(L36,Tabella_prezzi!$A$3:$J$308,8,FALSE))</f>
        <v/>
      </c>
      <c r="F36" s="92" t="str">
        <f>IF(B36="","",VLOOKUP(L36,Tabella_prezzi!$A$3:$J$308,4,FALSE))</f>
        <v/>
      </c>
      <c r="G36" s="93" t="str">
        <f t="shared" si="3"/>
        <v/>
      </c>
      <c r="H36" s="54"/>
      <c r="I36" s="26"/>
      <c r="J36" s="1">
        <f t="shared" si="4"/>
        <v>0</v>
      </c>
      <c r="K36" s="44" t="str">
        <f>VLOOKUP(L36,Tabella_prezzi!A15:J321,6,FALSE)</f>
        <v>TS3L2-WINDEVCAL</v>
      </c>
      <c r="L36" s="48" t="s">
        <v>322</v>
      </c>
      <c r="P36" s="1">
        <f>Altre_Opzioni!F21</f>
        <v>0</v>
      </c>
      <c r="Q36" s="46">
        <f>Lotto2_T640_1!K66</f>
        <v>0</v>
      </c>
      <c r="R36" s="47" t="str">
        <f>Lotto2_T640_1!F66</f>
        <v/>
      </c>
      <c r="S36" s="46">
        <f>Lotto2_T640_2!K66</f>
        <v>0</v>
      </c>
      <c r="T36" s="47" t="str">
        <f>Lotto2_T640_2!F66</f>
        <v/>
      </c>
      <c r="U36" s="46">
        <f>Lotto2_T640_3!K66</f>
        <v>0</v>
      </c>
      <c r="V36" s="46" t="str">
        <f>Lotto2_T640_3!F66</f>
        <v/>
      </c>
      <c r="X36" t="b">
        <f>ISODD(SUM($J$23:J36))</f>
        <v>0</v>
      </c>
      <c r="Y36" s="1" t="s">
        <v>540</v>
      </c>
    </row>
    <row r="37" spans="1:25" ht="24" hidden="1" thickBot="1" x14ac:dyDescent="0.3">
      <c r="A37" s="64"/>
      <c r="B37" s="89" t="str">
        <f t="shared" si="2"/>
        <v/>
      </c>
      <c r="C37" s="180" t="str">
        <f>IF(B37="","",VLOOKUP(L37,Tabella_prezzi!$A$3:$J$308,9,FALSE))</f>
        <v/>
      </c>
      <c r="D37" s="90" t="str">
        <f>IF(B37="","",VLOOKUP(L37,Tabella_prezzi!$A$3:$J$308,6,FALSE))</f>
        <v/>
      </c>
      <c r="E37" s="91" t="str">
        <f>IF(B37="","",VLOOKUP(L37,Tabella_prezzi!$A$3:$J$308,8,FALSE))</f>
        <v/>
      </c>
      <c r="F37" s="92" t="str">
        <f>IF(B37="","",VLOOKUP(L37,Tabella_prezzi!$A$3:$J$308,4,FALSE))</f>
        <v/>
      </c>
      <c r="G37" s="93" t="str">
        <f t="shared" si="3"/>
        <v/>
      </c>
      <c r="H37" s="65"/>
      <c r="I37" s="63"/>
      <c r="J37" s="1">
        <f t="shared" si="4"/>
        <v>0</v>
      </c>
      <c r="K37" s="44" t="str">
        <f>VLOOKUP(L37,Tabella_prezzi!A16:J322,6,FALSE)</f>
        <v>TS3L2-WINUSRCAL</v>
      </c>
      <c r="L37" s="45" t="s">
        <v>327</v>
      </c>
      <c r="P37" s="1">
        <f>Altre_Opzioni!F24</f>
        <v>0</v>
      </c>
      <c r="Q37" s="46">
        <f>Lotto2_T640_1!K69</f>
        <v>0</v>
      </c>
      <c r="R37" s="47" t="str">
        <f>Lotto2_T640_1!F69</f>
        <v/>
      </c>
      <c r="S37" s="46">
        <f>Lotto2_T640_2!K69</f>
        <v>0</v>
      </c>
      <c r="T37" s="47" t="str">
        <f>Lotto2_T640_2!F69</f>
        <v/>
      </c>
      <c r="U37" s="46">
        <f>Lotto2_T640_3!K69</f>
        <v>0</v>
      </c>
      <c r="V37" s="46" t="str">
        <f>Lotto2_T640_3!F69</f>
        <v/>
      </c>
      <c r="X37" t="b">
        <f>ISODD(SUM($J$23:J37))</f>
        <v>0</v>
      </c>
      <c r="Y37" s="1" t="s">
        <v>541</v>
      </c>
    </row>
    <row r="38" spans="1:25" ht="24" hidden="1" thickBot="1" x14ac:dyDescent="0.3">
      <c r="A38" s="64"/>
      <c r="B38" s="89" t="str">
        <f t="shared" si="2"/>
        <v/>
      </c>
      <c r="C38" s="180" t="str">
        <f>IF(B38="","",VLOOKUP(L38,Tabella_prezzi!$A$3:$J$308,9,FALSE))</f>
        <v/>
      </c>
      <c r="D38" s="90" t="str">
        <f>IF(B38="","",VLOOKUP(L38,Tabella_prezzi!$A$3:$J$308,6,FALSE))</f>
        <v/>
      </c>
      <c r="E38" s="91" t="str">
        <f>IF(B38="","",VLOOKUP(L38,Tabella_prezzi!$A$3:$J$308,8,FALSE))</f>
        <v/>
      </c>
      <c r="F38" s="92" t="str">
        <f>IF(B38="","",VLOOKUP(L38,Tabella_prezzi!$A$3:$J$308,4,FALSE))</f>
        <v/>
      </c>
      <c r="G38" s="93" t="str">
        <f t="shared" si="3"/>
        <v/>
      </c>
      <c r="H38" s="65"/>
      <c r="I38" s="63"/>
      <c r="J38" s="1">
        <f t="shared" si="4"/>
        <v>0</v>
      </c>
      <c r="K38" s="44" t="str">
        <f>VLOOKUP(L38,Tabella_prezzi!A17:J323,6,FALSE)</f>
        <v>TS3L2-LINUX</v>
      </c>
      <c r="L38" s="48" t="s">
        <v>332</v>
      </c>
      <c r="M38" s="1">
        <f t="shared" ref="M38:M41" si="7">COUNTIF($Q$23:$Q$61,L38)*$M$22</f>
        <v>0</v>
      </c>
      <c r="N38" s="1">
        <f t="shared" ref="N38:N41" si="8">COUNTIF($S$23:$S$61,L38)*$N$22</f>
        <v>0</v>
      </c>
      <c r="O38" s="1">
        <f t="shared" ref="O38:O41" si="9">COUNTIF($U$23:$U$61,L38)*$O$22</f>
        <v>0</v>
      </c>
      <c r="P38" s="1">
        <f t="shared" si="1"/>
        <v>0</v>
      </c>
      <c r="Q38" s="46">
        <f>Lotto2_T640_1!K72</f>
        <v>0</v>
      </c>
      <c r="R38" s="47" t="str">
        <f>Lotto2_T640_1!F72</f>
        <v/>
      </c>
      <c r="S38" s="46">
        <f>Lotto2_T640_2!K72</f>
        <v>0</v>
      </c>
      <c r="T38" s="47" t="str">
        <f>Lotto2_T640_2!F72</f>
        <v/>
      </c>
      <c r="U38" s="46">
        <f>Lotto2_T640_3!K72</f>
        <v>0</v>
      </c>
      <c r="V38" s="46" t="str">
        <f>Lotto2_T640_3!F72</f>
        <v/>
      </c>
      <c r="X38" t="b">
        <f>ISODD(SUM($J$23:J38))</f>
        <v>0</v>
      </c>
      <c r="Y38" s="1" t="s">
        <v>542</v>
      </c>
    </row>
    <row r="39" spans="1:25" ht="24" hidden="1" thickBot="1" x14ac:dyDescent="0.3">
      <c r="A39" s="64"/>
      <c r="B39" s="89" t="str">
        <f t="shared" si="2"/>
        <v/>
      </c>
      <c r="C39" s="180" t="str">
        <f>IF(B39="","",VLOOKUP(L39,Tabella_prezzi!$A$3:$J$308,9,FALSE))</f>
        <v/>
      </c>
      <c r="D39" s="90" t="str">
        <f>IF(B39="","",VLOOKUP(L39,Tabella_prezzi!$A$3:$J$308,6,FALSE))</f>
        <v/>
      </c>
      <c r="E39" s="91" t="str">
        <f>IF(B39="","",VLOOKUP(L39,Tabella_prezzi!$A$3:$J$308,8,FALSE))</f>
        <v/>
      </c>
      <c r="F39" s="92" t="str">
        <f>IF(B39="","",VLOOKUP(L39,Tabella_prezzi!$A$3:$J$308,4,FALSE))</f>
        <v/>
      </c>
      <c r="G39" s="93" t="str">
        <f t="shared" si="3"/>
        <v/>
      </c>
      <c r="H39" s="65"/>
      <c r="I39" s="63"/>
      <c r="J39" s="1">
        <f t="shared" si="4"/>
        <v>0</v>
      </c>
      <c r="K39" s="44" t="str">
        <f>VLOOKUP(L39,Tabella_prezzi!A18:J324,6,FALSE)</f>
        <v>TS3L2-HDRTNTN</v>
      </c>
      <c r="L39" s="45" t="s">
        <v>334</v>
      </c>
      <c r="M39" s="1">
        <f t="shared" si="7"/>
        <v>0</v>
      </c>
      <c r="N39" s="1">
        <f t="shared" si="8"/>
        <v>0</v>
      </c>
      <c r="O39" s="1">
        <f t="shared" si="9"/>
        <v>0</v>
      </c>
      <c r="P39" s="1">
        <f t="shared" si="1"/>
        <v>0</v>
      </c>
      <c r="Q39" s="46">
        <f>Lotto2_T640_1!K75</f>
        <v>0</v>
      </c>
      <c r="R39" s="47" t="str">
        <f>Lotto2_T640_1!F75</f>
        <v/>
      </c>
      <c r="S39" s="46">
        <f>Lotto2_T640_2!K75</f>
        <v>0</v>
      </c>
      <c r="T39" s="47" t="str">
        <f>Lotto2_T640_2!F75</f>
        <v/>
      </c>
      <c r="U39" s="46">
        <f>Lotto2_T640_3!K75</f>
        <v>0</v>
      </c>
      <c r="V39" s="46" t="str">
        <f>Lotto2_T640_3!F75</f>
        <v/>
      </c>
      <c r="X39" t="b">
        <f>ISODD(SUM($J$23:J39))</f>
        <v>0</v>
      </c>
      <c r="Y39" s="1" t="s">
        <v>543</v>
      </c>
    </row>
    <row r="40" spans="1:25" ht="24" hidden="1" thickBot="1" x14ac:dyDescent="0.3">
      <c r="A40" s="64"/>
      <c r="B40" s="89" t="str">
        <f t="shared" ref="B40:B41" si="10">IF(P40&gt;0,P40,"")</f>
        <v/>
      </c>
      <c r="C40" s="180" t="str">
        <f>IF(B40="","",VLOOKUP(L40,Tabella_prezzi!$A$3:$J$308,9,FALSE))</f>
        <v/>
      </c>
      <c r="D40" s="90" t="str">
        <f>IF(B40="","",VLOOKUP(L40,Tabella_prezzi!$A$3:$J$308,6,FALSE))</f>
        <v/>
      </c>
      <c r="E40" s="91" t="str">
        <f>IF(B40="","",VLOOKUP(L40,Tabella_prezzi!$A$3:$J$308,8,FALSE))</f>
        <v/>
      </c>
      <c r="F40" s="92" t="str">
        <f>IF(B40="","",VLOOKUP(L40,Tabella_prezzi!$A$3:$J$308,4,FALSE))</f>
        <v/>
      </c>
      <c r="G40" s="93" t="str">
        <f t="shared" ref="G40:G41" si="11">IF(C40="","",F40*B40)</f>
        <v/>
      </c>
      <c r="H40" s="65"/>
      <c r="I40" s="63"/>
      <c r="J40" s="1">
        <f t="shared" si="4"/>
        <v>0</v>
      </c>
      <c r="K40" s="44" t="str">
        <f>VLOOKUP(L40,Tabella_prezzi!A19:J325,6,FALSE)</f>
        <v>TS3L2-5Y</v>
      </c>
      <c r="L40" s="48" t="s">
        <v>336</v>
      </c>
      <c r="M40" s="1">
        <f t="shared" si="7"/>
        <v>0</v>
      </c>
      <c r="N40" s="1">
        <f t="shared" si="8"/>
        <v>0</v>
      </c>
      <c r="O40" s="1">
        <f t="shared" si="9"/>
        <v>0</v>
      </c>
      <c r="P40" s="1">
        <f t="shared" ref="P40" si="12">SUM(M40:O40)</f>
        <v>0</v>
      </c>
      <c r="Q40" s="46" t="str">
        <f>Lotto2_T640_1!K27</f>
        <v/>
      </c>
      <c r="R40" s="47">
        <f>Lotto2_T640_1!F27</f>
        <v>0</v>
      </c>
      <c r="S40" s="46" t="str">
        <f>Lotto2_T640_2!K27</f>
        <v/>
      </c>
      <c r="T40" s="47">
        <f>Lotto2_T640_2!F27</f>
        <v>0</v>
      </c>
      <c r="U40" s="46" t="str">
        <f>Lotto2_T640_3!K27</f>
        <v/>
      </c>
      <c r="V40" s="47">
        <f>Lotto2_T640_3!F27</f>
        <v>0</v>
      </c>
      <c r="X40" t="b">
        <f>ISODD(SUM($J$23:J40))</f>
        <v>0</v>
      </c>
      <c r="Y40" s="1" t="s">
        <v>545</v>
      </c>
    </row>
    <row r="41" spans="1:25" ht="24" hidden="1" thickBot="1" x14ac:dyDescent="0.3">
      <c r="A41" s="64"/>
      <c r="B41" s="89" t="str">
        <f t="shared" si="10"/>
        <v/>
      </c>
      <c r="C41" s="180" t="str">
        <f>IF(B41="","",VLOOKUP(L41,Tabella_prezzi!$A$3:$J$308,9,FALSE))</f>
        <v/>
      </c>
      <c r="D41" s="90" t="str">
        <f>IF(B41="","",VLOOKUP(L41,Tabella_prezzi!$A$3:$J$308,6,FALSE))</f>
        <v/>
      </c>
      <c r="E41" s="91" t="str">
        <f>IF(B41="","",VLOOKUP(L41,Tabella_prezzi!$A$3:$J$308,8,FALSE))</f>
        <v/>
      </c>
      <c r="F41" s="92" t="str">
        <f>IF(B41="","",VLOOKUP(L41,Tabella_prezzi!$A$3:$J$308,4,FALSE))</f>
        <v/>
      </c>
      <c r="G41" s="93" t="str">
        <f t="shared" si="11"/>
        <v/>
      </c>
      <c r="H41" s="65"/>
      <c r="I41" s="63"/>
      <c r="J41" s="1">
        <f t="shared" si="4"/>
        <v>0</v>
      </c>
      <c r="K41" s="44" t="str">
        <f>VLOOKUP(L41,Tabella_prezzi!A31:J337,6,FALSE)</f>
        <v>TS3L2-HDRTNTN60</v>
      </c>
      <c r="L41" s="48" t="s">
        <v>347</v>
      </c>
      <c r="M41" s="1">
        <f t="shared" si="7"/>
        <v>0</v>
      </c>
      <c r="N41" s="1">
        <f t="shared" si="8"/>
        <v>0</v>
      </c>
      <c r="O41" s="1">
        <f t="shared" si="9"/>
        <v>0</v>
      </c>
      <c r="P41" s="1">
        <f>SUM(M41:O41)</f>
        <v>0</v>
      </c>
      <c r="Q41" s="46"/>
      <c r="R41" s="47"/>
      <c r="S41" s="46"/>
      <c r="T41" s="47"/>
      <c r="U41" s="46"/>
      <c r="V41" s="47"/>
      <c r="X41" t="b">
        <f>ISODD(SUM($J$23:J41))</f>
        <v>0</v>
      </c>
    </row>
    <row r="42" spans="1:25" ht="27" hidden="1" customHeight="1" thickBot="1" x14ac:dyDescent="0.3">
      <c r="A42" s="64"/>
      <c r="B42" s="269" t="s">
        <v>606</v>
      </c>
      <c r="C42" s="270"/>
      <c r="D42" s="270"/>
      <c r="E42" s="270"/>
      <c r="F42" s="270"/>
      <c r="G42" s="271"/>
      <c r="H42" s="65"/>
      <c r="I42" s="63"/>
      <c r="J42" s="1">
        <f>IF($G$56&gt;0,1,0)</f>
        <v>0</v>
      </c>
      <c r="K42" s="44"/>
      <c r="Q42" s="46" t="str">
        <f>Lotto2_T640_1!K93</f>
        <v/>
      </c>
      <c r="R42" s="47" t="str">
        <f>Lotto2_T640_1!F93</f>
        <v/>
      </c>
      <c r="S42" s="46" t="str">
        <f>Lotto2_T640_2!K93</f>
        <v/>
      </c>
      <c r="T42" s="47" t="str">
        <f>Lotto2_T640_2!F93</f>
        <v/>
      </c>
      <c r="U42" s="46" t="str">
        <f>Lotto2_T640_3!K93</f>
        <v/>
      </c>
      <c r="V42" s="47" t="str">
        <f>Lotto2_T640_3!F93</f>
        <v/>
      </c>
      <c r="X42"/>
      <c r="Y42" s="1" t="s">
        <v>551</v>
      </c>
    </row>
    <row r="43" spans="1:25" ht="27" hidden="1" customHeight="1" thickBot="1" x14ac:dyDescent="0.3">
      <c r="A43" s="64"/>
      <c r="B43" s="136" t="s">
        <v>225</v>
      </c>
      <c r="C43" s="136" t="s">
        <v>226</v>
      </c>
      <c r="D43" s="136" t="s">
        <v>227</v>
      </c>
      <c r="E43" s="136" t="s">
        <v>228</v>
      </c>
      <c r="F43" s="136" t="s">
        <v>229</v>
      </c>
      <c r="G43" s="136" t="s">
        <v>230</v>
      </c>
      <c r="H43" s="65"/>
      <c r="I43" s="63"/>
      <c r="J43" s="1">
        <f>IF($G$56&gt;0,1,0)</f>
        <v>0</v>
      </c>
      <c r="K43" s="44"/>
      <c r="L43" s="45"/>
      <c r="Q43" s="46" t="str">
        <f>Lotto2_T640_1!$K$90</f>
        <v/>
      </c>
      <c r="R43" s="47" t="str">
        <f>Lotto2_T640_1!$F$90</f>
        <v/>
      </c>
      <c r="S43" s="46" t="str">
        <f>Lotto2_T640_2!$K$90</f>
        <v/>
      </c>
      <c r="T43" s="47" t="str">
        <f>Lotto2_T640_2!$F$90</f>
        <v/>
      </c>
      <c r="U43" s="46" t="str">
        <f>Lotto2_T640_3!$K$90</f>
        <v/>
      </c>
      <c r="V43" s="47" t="str">
        <f>Lotto2_T640_3!$F$90</f>
        <v/>
      </c>
      <c r="X43"/>
      <c r="Y43" s="1" t="s">
        <v>552</v>
      </c>
    </row>
    <row r="44" spans="1:25" ht="24" hidden="1" thickBot="1" x14ac:dyDescent="0.3">
      <c r="A44" s="64"/>
      <c r="B44" s="94" t="str">
        <f t="shared" si="2"/>
        <v/>
      </c>
      <c r="C44" s="179" t="str">
        <f>IF(B44="","",VLOOKUP(L44,Tabella_prezzi!$A$3:$J$308,9,FALSE))</f>
        <v/>
      </c>
      <c r="D44" s="95" t="str">
        <f>IF(B44="","",VLOOKUP(L44,Tabella_prezzi!$A$3:$J$308,6,FALSE))</f>
        <v/>
      </c>
      <c r="E44" s="96" t="str">
        <f>IF(B44="","",VLOOKUP(L44,Tabella_prezzi!$A$3:$J$308,8,FALSE))</f>
        <v/>
      </c>
      <c r="F44" s="97" t="str">
        <f>IF(B44="","",VLOOKUP(L44,Tabella_prezzi!$A$3:$J$308,4,FALSE))</f>
        <v/>
      </c>
      <c r="G44" s="98" t="str">
        <f t="shared" ref="G44" si="13">IF(C44="","",F44*B44)</f>
        <v/>
      </c>
      <c r="H44" s="65"/>
      <c r="I44" s="63"/>
      <c r="J44" s="1">
        <f>IF(B44="",0,1)</f>
        <v>0</v>
      </c>
      <c r="K44" s="44" t="str">
        <f>VLOOKUP(L44,Tabella_prezzi!A22:J328,6,FALSE)</f>
        <v>TS3L2-BEZEL</v>
      </c>
      <c r="L44" s="45" t="s">
        <v>338</v>
      </c>
      <c r="M44" s="1">
        <f t="shared" ref="M44:M54" si="14">COUNTIF($Q$23:$Q$61,L44)*$M$22</f>
        <v>0</v>
      </c>
      <c r="N44" s="1">
        <f t="shared" ref="N44:N54" si="15">COUNTIF($S$23:$S$61,L44)*$N$22</f>
        <v>0</v>
      </c>
      <c r="O44" s="1">
        <f t="shared" ref="O44:O54" si="16">COUNTIF($U$23:$U$61,L44)*$O$22</f>
        <v>0</v>
      </c>
      <c r="P44" s="1">
        <f t="shared" si="1"/>
        <v>0</v>
      </c>
      <c r="Q44" s="46" t="str">
        <f>Lotto2_T640_1!K97</f>
        <v/>
      </c>
      <c r="R44" s="47" t="str">
        <f>Lotto2_T640_1!F97</f>
        <v/>
      </c>
      <c r="S44" s="46" t="str">
        <f>Lotto2_T640_2!K97</f>
        <v/>
      </c>
      <c r="T44" s="47" t="str">
        <f>Lotto2_T640_2!F97</f>
        <v/>
      </c>
      <c r="U44" s="46" t="str">
        <f>Lotto2_T640_3!K97</f>
        <v/>
      </c>
      <c r="V44" s="47" t="str">
        <f>Lotto2_T640_3!F97</f>
        <v/>
      </c>
      <c r="X44" t="b">
        <f>ISODD(SUM($J$23:J44))</f>
        <v>0</v>
      </c>
      <c r="Y44" s="1" t="s">
        <v>553</v>
      </c>
    </row>
    <row r="45" spans="1:25" ht="24" hidden="1" thickBot="1" x14ac:dyDescent="0.3">
      <c r="A45" s="55"/>
      <c r="B45" s="94" t="str">
        <f t="shared" si="2"/>
        <v/>
      </c>
      <c r="C45" s="179" t="str">
        <f>IF(B45="","",VLOOKUP(L45,Tabella_prezzi!$A$3:$J$308,9,FALSE))</f>
        <v/>
      </c>
      <c r="D45" s="95" t="str">
        <f>IF(B45="","",VLOOKUP(L45,Tabella_prezzi!$A$3:$J$308,6,FALSE))</f>
        <v/>
      </c>
      <c r="E45" s="96" t="str">
        <f>IF(B45="","",VLOOKUP(L45,Tabella_prezzi!$A$3:$J$308,8,FALSE))</f>
        <v/>
      </c>
      <c r="F45" s="97" t="str">
        <f>IF(B45="","",VLOOKUP(L45,Tabella_prezzi!$A$3:$J$308,4,FALSE))</f>
        <v/>
      </c>
      <c r="G45" s="98" t="str">
        <f t="shared" si="3"/>
        <v/>
      </c>
      <c r="H45" s="54"/>
      <c r="I45" s="26"/>
      <c r="J45" s="1">
        <f t="shared" si="4"/>
        <v>0</v>
      </c>
      <c r="K45" s="44" t="str">
        <f>VLOOKUP(L45,Tabella_prezzi!A23:J329,6,FALSE)</f>
        <v>TS3L2-BOSS240</v>
      </c>
      <c r="L45" s="48" t="s">
        <v>339</v>
      </c>
      <c r="M45" s="1">
        <f t="shared" si="14"/>
        <v>0</v>
      </c>
      <c r="N45" s="1">
        <f t="shared" si="15"/>
        <v>0</v>
      </c>
      <c r="O45" s="1">
        <f t="shared" si="16"/>
        <v>0</v>
      </c>
      <c r="P45" s="1">
        <f t="shared" si="1"/>
        <v>0</v>
      </c>
      <c r="Q45" s="46" t="str">
        <f>Lotto2_T640_1!K100</f>
        <v/>
      </c>
      <c r="R45" s="47" t="str">
        <f>Lotto2_T640_1!F100</f>
        <v/>
      </c>
      <c r="S45" s="46" t="str">
        <f>Lotto2_T640_2!K100</f>
        <v/>
      </c>
      <c r="T45" s="47" t="str">
        <f>Lotto2_T640_2!F100</f>
        <v/>
      </c>
      <c r="U45" s="46" t="str">
        <f>Lotto2_T640_3!K100</f>
        <v/>
      </c>
      <c r="V45" s="47" t="str">
        <f>Lotto2_T640_3!F100</f>
        <v/>
      </c>
      <c r="X45" t="b">
        <f>ISODD(SUM($J$23:J45))</f>
        <v>0</v>
      </c>
      <c r="Y45" s="1" t="s">
        <v>554</v>
      </c>
    </row>
    <row r="46" spans="1:25" ht="24" hidden="1" thickBot="1" x14ac:dyDescent="0.3">
      <c r="A46" s="64"/>
      <c r="B46" s="94" t="str">
        <f t="shared" si="2"/>
        <v/>
      </c>
      <c r="C46" s="179" t="str">
        <f>IF(B46="","",VLOOKUP(L46,Tabella_prezzi!$A$3:$J$308,9,FALSE))</f>
        <v/>
      </c>
      <c r="D46" s="95" t="str">
        <f>IF(B46="","",VLOOKUP(L46,Tabella_prezzi!$A$3:$J$308,6,FALSE))</f>
        <v/>
      </c>
      <c r="E46" s="96" t="str">
        <f>IF(B46="","",VLOOKUP(L46,Tabella_prezzi!$A$3:$J$308,8,FALSE))</f>
        <v/>
      </c>
      <c r="F46" s="97" t="str">
        <f>IF(B46="","",VLOOKUP(L46,Tabella_prezzi!$A$3:$J$308,4,FALSE))</f>
        <v/>
      </c>
      <c r="G46" s="98" t="str">
        <f t="shared" si="3"/>
        <v/>
      </c>
      <c r="H46" s="65"/>
      <c r="I46" s="63"/>
      <c r="J46" s="1">
        <f t="shared" si="4"/>
        <v>0</v>
      </c>
      <c r="K46" s="44" t="str">
        <f>VLOOKUP(L46,Tabella_prezzi!A24:J330,6,FALSE)</f>
        <v>TS3L2-BOSS480</v>
      </c>
      <c r="L46" s="45" t="s">
        <v>340</v>
      </c>
      <c r="M46" s="1">
        <f t="shared" si="14"/>
        <v>0</v>
      </c>
      <c r="N46" s="1">
        <f t="shared" si="15"/>
        <v>0</v>
      </c>
      <c r="O46" s="1">
        <f t="shared" si="16"/>
        <v>0</v>
      </c>
      <c r="P46" s="1">
        <f t="shared" si="1"/>
        <v>0</v>
      </c>
      <c r="Q46" s="46" t="str">
        <f>Lotto2_T640_1!K87</f>
        <v/>
      </c>
      <c r="R46" s="47" t="str">
        <f>Lotto2_T640_1!F87</f>
        <v/>
      </c>
      <c r="S46" s="46" t="str">
        <f>Lotto2_T640_2!K87</f>
        <v/>
      </c>
      <c r="T46" s="47" t="str">
        <f>Lotto2_T640_2!F87</f>
        <v/>
      </c>
      <c r="U46" s="46" t="str">
        <f>Lotto2_T640_3!K87</f>
        <v/>
      </c>
      <c r="V46" s="47" t="str">
        <f>Lotto2_T640_3!F87</f>
        <v/>
      </c>
      <c r="X46" t="b">
        <f>ISODD(SUM($J$23:J46))</f>
        <v>0</v>
      </c>
    </row>
    <row r="47" spans="1:25" ht="24" hidden="1" thickBot="1" x14ac:dyDescent="0.3">
      <c r="A47" s="55"/>
      <c r="B47" s="94" t="str">
        <f t="shared" si="2"/>
        <v/>
      </c>
      <c r="C47" s="179" t="str">
        <f>IF(B47="","",VLOOKUP(L47,Tabella_prezzi!$A$3:$J$308,9,FALSE))</f>
        <v/>
      </c>
      <c r="D47" s="95" t="str">
        <f>IF(B47="","",VLOOKUP(L47,Tabella_prezzi!$A$3:$J$308,6,FALSE))</f>
        <v/>
      </c>
      <c r="E47" s="96" t="str">
        <f>IF(B47="","",VLOOKUP(L47,Tabella_prezzi!$A$3:$J$308,8,FALSE))</f>
        <v/>
      </c>
      <c r="F47" s="97" t="str">
        <f>IF(B47="","",VLOOKUP(L47,Tabella_prezzi!$A$3:$J$308,4,FALSE))</f>
        <v/>
      </c>
      <c r="G47" s="98" t="str">
        <f t="shared" si="3"/>
        <v/>
      </c>
      <c r="H47" s="54"/>
      <c r="I47" s="26"/>
      <c r="J47" s="1">
        <f t="shared" si="4"/>
        <v>0</v>
      </c>
      <c r="K47" s="44" t="str">
        <f>VLOOKUP(L47,Tabella_prezzi!A25:J331,6,FALSE)</f>
        <v>TS3L2-RACKKIT</v>
      </c>
      <c r="L47" s="48" t="s">
        <v>341</v>
      </c>
      <c r="M47" s="1">
        <f t="shared" si="14"/>
        <v>0</v>
      </c>
      <c r="N47" s="1">
        <f t="shared" si="15"/>
        <v>0</v>
      </c>
      <c r="O47" s="1">
        <f t="shared" si="16"/>
        <v>0</v>
      </c>
      <c r="P47" s="1">
        <f t="shared" si="1"/>
        <v>0</v>
      </c>
      <c r="Q47" s="46" t="str">
        <f>Lotto2_T640_1!K84</f>
        <v>L2N26</v>
      </c>
      <c r="R47" s="47">
        <f>Lotto2_T640_1!F84</f>
        <v>3</v>
      </c>
      <c r="S47" s="46" t="str">
        <f>Lotto2_T640_2!K84</f>
        <v>L2N26</v>
      </c>
      <c r="T47" s="47">
        <f>Lotto2_T640_2!F84</f>
        <v>3</v>
      </c>
      <c r="U47" s="46" t="str">
        <f>Lotto2_T640_3!K84</f>
        <v>L2N26</v>
      </c>
      <c r="V47" s="47">
        <f>Lotto2_T640_3!F84</f>
        <v>3</v>
      </c>
      <c r="X47" t="b">
        <f>ISODD(SUM($J$23:J47))</f>
        <v>0</v>
      </c>
    </row>
    <row r="48" spans="1:25" ht="24" hidden="1" thickBot="1" x14ac:dyDescent="0.3">
      <c r="A48" s="55"/>
      <c r="B48" s="94" t="str">
        <f t="shared" si="2"/>
        <v/>
      </c>
      <c r="C48" s="179" t="str">
        <f>IF(B48="","",VLOOKUP(L48,Tabella_prezzi!$A$3:$J$308,9,FALSE))</f>
        <v/>
      </c>
      <c r="D48" s="95" t="str">
        <f>IF(B48="","",VLOOKUP(L48,Tabella_prezzi!$A$3:$J$308,6,FALSE))</f>
        <v/>
      </c>
      <c r="E48" s="96" t="str">
        <f>IF(B48="","",VLOOKUP(L48,Tabella_prezzi!$A$3:$J$308,8,FALSE))</f>
        <v/>
      </c>
      <c r="F48" s="97" t="str">
        <f>IF(B48="","",VLOOKUP(L48,Tabella_prezzi!$A$3:$J$308,4,FALSE))</f>
        <v/>
      </c>
      <c r="G48" s="98" t="str">
        <f t="shared" si="3"/>
        <v/>
      </c>
      <c r="H48" s="54"/>
      <c r="I48" s="26"/>
      <c r="J48" s="1">
        <f t="shared" si="4"/>
        <v>0</v>
      </c>
      <c r="K48" s="44" t="str">
        <f>VLOOKUP(L48,Tabella_prezzi!A26:J332,6,FALSE)</f>
        <v>TS3L2-CNA10GB</v>
      </c>
      <c r="L48" s="45" t="s">
        <v>342</v>
      </c>
      <c r="M48" s="1">
        <f t="shared" si="14"/>
        <v>0</v>
      </c>
      <c r="N48" s="1">
        <f t="shared" si="15"/>
        <v>0</v>
      </c>
      <c r="O48" s="1">
        <f t="shared" si="16"/>
        <v>0</v>
      </c>
      <c r="P48" s="1">
        <f t="shared" si="1"/>
        <v>0</v>
      </c>
      <c r="Q48" s="46">
        <f>Lotto2_T640_1!K81</f>
        <v>0</v>
      </c>
      <c r="R48" s="47">
        <f>Lotto2_T640_1!F81</f>
        <v>0</v>
      </c>
      <c r="S48" s="46">
        <f>Lotto2_T640_2!K81</f>
        <v>0</v>
      </c>
      <c r="T48" s="47">
        <f>Lotto2_T640_2!F81</f>
        <v>0</v>
      </c>
      <c r="U48" s="46">
        <f>Lotto2_T640_3!K81</f>
        <v>0</v>
      </c>
      <c r="V48" s="47">
        <f>Lotto2_T640_3!F81</f>
        <v>0</v>
      </c>
      <c r="X48" t="b">
        <f>ISODD(SUM($J$23:J48))</f>
        <v>0</v>
      </c>
    </row>
    <row r="49" spans="1:24" ht="24" hidden="1" thickBot="1" x14ac:dyDescent="0.3">
      <c r="A49" s="55"/>
      <c r="B49" s="94" t="str">
        <f t="shared" si="2"/>
        <v/>
      </c>
      <c r="C49" s="179" t="str">
        <f>IF(B49="","",VLOOKUP(L49,Tabella_prezzi!$A$3:$J$308,9,FALSE))</f>
        <v/>
      </c>
      <c r="D49" s="95" t="str">
        <f>IF(B49="","",VLOOKUP(L49,Tabella_prezzi!$A$3:$J$308,6,FALSE))</f>
        <v/>
      </c>
      <c r="E49" s="96" t="str">
        <f>IF(B49="","",VLOOKUP(L49,Tabella_prezzi!$A$3:$J$308,8,FALSE))</f>
        <v/>
      </c>
      <c r="F49" s="97" t="str">
        <f>IF(B49="","",VLOOKUP(L49,Tabella_prezzi!$A$3:$J$308,4,FALSE))</f>
        <v/>
      </c>
      <c r="G49" s="98" t="str">
        <f t="shared" si="3"/>
        <v/>
      </c>
      <c r="H49" s="54"/>
      <c r="I49" s="26"/>
      <c r="J49" s="1">
        <f t="shared" si="4"/>
        <v>0</v>
      </c>
      <c r="K49" s="44" t="str">
        <f>VLOOKUP(L49,Tabella_prezzi!A27:J333,6,FALSE)</f>
        <v>TS3L2-10GBIC</v>
      </c>
      <c r="L49" s="48" t="s">
        <v>343</v>
      </c>
      <c r="M49" s="1">
        <f t="shared" si="14"/>
        <v>0</v>
      </c>
      <c r="N49" s="1">
        <f t="shared" si="15"/>
        <v>0</v>
      </c>
      <c r="O49" s="1">
        <f t="shared" si="16"/>
        <v>0</v>
      </c>
      <c r="P49" s="1">
        <f t="shared" si="1"/>
        <v>0</v>
      </c>
      <c r="Q49" s="46">
        <f>Lotto2_T640_1!K78</f>
        <v>0</v>
      </c>
      <c r="R49" s="47">
        <f>Lotto2_T640_1!F78</f>
        <v>0</v>
      </c>
      <c r="S49" s="46">
        <f>Lotto2_T640_2!K78</f>
        <v>0</v>
      </c>
      <c r="T49" s="47">
        <f>Lotto2_T640_2!F78</f>
        <v>0</v>
      </c>
      <c r="U49" s="46">
        <f>Lotto2_T640_3!K78</f>
        <v>0</v>
      </c>
      <c r="V49" s="47">
        <f>Lotto2_T640_3!F78</f>
        <v>0</v>
      </c>
      <c r="X49" t="b">
        <f>ISODD(SUM($J$23:J49))</f>
        <v>0</v>
      </c>
    </row>
    <row r="50" spans="1:24" ht="24" hidden="1" thickBot="1" x14ac:dyDescent="0.3">
      <c r="A50" s="64"/>
      <c r="B50" s="94" t="str">
        <f t="shared" si="2"/>
        <v/>
      </c>
      <c r="C50" s="179" t="str">
        <f>IF(B50="","",VLOOKUP(L50,Tabella_prezzi!$A$3:$J$308,9,FALSE))</f>
        <v/>
      </c>
      <c r="D50" s="95" t="str">
        <f>IF(B50="","",VLOOKUP(L50,Tabella_prezzi!$A$3:$J$308,6,FALSE))</f>
        <v/>
      </c>
      <c r="E50" s="96" t="str">
        <f>IF(B50="","",VLOOKUP(L50,Tabella_prezzi!$A$3:$J$308,8,FALSE))</f>
        <v/>
      </c>
      <c r="F50" s="97" t="str">
        <f>IF(B50="","",VLOOKUP(L50,Tabella_prezzi!$A$3:$J$308,4,FALSE))</f>
        <v/>
      </c>
      <c r="G50" s="98" t="str">
        <f t="shared" si="3"/>
        <v/>
      </c>
      <c r="H50" s="65"/>
      <c r="I50" s="63"/>
      <c r="J50" s="1">
        <f t="shared" si="4"/>
        <v>0</v>
      </c>
      <c r="K50" s="44" t="str">
        <f>VLOOKUP(L50,Tabella_prezzi!A28:J334,6,FALSE)</f>
        <v>TS3L2-DAC3M</v>
      </c>
      <c r="L50" s="45" t="s">
        <v>344</v>
      </c>
      <c r="M50" s="1">
        <f t="shared" si="14"/>
        <v>0</v>
      </c>
      <c r="N50" s="1">
        <f t="shared" si="15"/>
        <v>0</v>
      </c>
      <c r="O50" s="1">
        <f t="shared" si="16"/>
        <v>0</v>
      </c>
      <c r="P50" s="1">
        <f t="shared" si="1"/>
        <v>0</v>
      </c>
      <c r="Q50" s="46" t="str">
        <f>Lotto2_T640_1!K11</f>
        <v/>
      </c>
      <c r="R50" s="47" t="str">
        <f>Lotto2_T640_1!F11</f>
        <v/>
      </c>
      <c r="S50" s="46" t="str">
        <f>Lotto2_T640_2!K11</f>
        <v/>
      </c>
      <c r="T50" s="47" t="str">
        <f>Lotto2_T640_2!F11</f>
        <v/>
      </c>
      <c r="U50" s="46" t="str">
        <f>Lotto2_T640_3!K11</f>
        <v/>
      </c>
      <c r="V50" s="47" t="str">
        <f>Lotto2_T640_3!F11</f>
        <v/>
      </c>
      <c r="X50" t="b">
        <f>ISODD(SUM($J$23:J50))</f>
        <v>0</v>
      </c>
    </row>
    <row r="51" spans="1:24" ht="24" hidden="1" thickBot="1" x14ac:dyDescent="0.3">
      <c r="A51" s="64"/>
      <c r="B51" s="94" t="str">
        <f t="shared" si="2"/>
        <v/>
      </c>
      <c r="C51" s="179" t="str">
        <f>IF(B51="","",VLOOKUP(L51,Tabella_prezzi!$A$3:$J$308,9,FALSE))</f>
        <v/>
      </c>
      <c r="D51" s="95" t="str">
        <f>IF(B51="","",VLOOKUP(L51,Tabella_prezzi!$A$3:$J$308,6,FALSE))</f>
        <v/>
      </c>
      <c r="E51" s="96" t="str">
        <f>IF(B51="","",VLOOKUP(L51,Tabella_prezzi!$A$3:$J$308,8,FALSE))</f>
        <v/>
      </c>
      <c r="F51" s="97" t="str">
        <f>IF(B51="","",VLOOKUP(L51,Tabella_prezzi!$A$3:$J$308,4,FALSE))</f>
        <v/>
      </c>
      <c r="G51" s="98" t="str">
        <f t="shared" si="3"/>
        <v/>
      </c>
      <c r="H51" s="65"/>
      <c r="I51" s="63"/>
      <c r="J51" s="1">
        <f t="shared" si="4"/>
        <v>0</v>
      </c>
      <c r="K51" s="44" t="str">
        <f>VLOOKUP(L51,Tabella_prezzi!A29:J335,6,FALSE)</f>
        <v>TS3L2-RJ453M</v>
      </c>
      <c r="L51" s="48" t="s">
        <v>345</v>
      </c>
      <c r="M51" s="1">
        <f>IF(R47&gt;1,(R47)*$M$22,0)</f>
        <v>0</v>
      </c>
      <c r="N51" s="1">
        <f>IF(T47&gt;1,(T47)*$N$22,0)</f>
        <v>0</v>
      </c>
      <c r="O51" s="1">
        <f>IF(V47&gt;1,(V47)*$O$22,0)</f>
        <v>0</v>
      </c>
      <c r="P51" s="1">
        <f t="shared" si="1"/>
        <v>0</v>
      </c>
      <c r="Q51" s="46"/>
      <c r="R51" s="47"/>
      <c r="S51" s="46"/>
      <c r="T51" s="47"/>
      <c r="U51" s="46"/>
      <c r="V51" s="47"/>
      <c r="X51" t="b">
        <f>ISODD(SUM($J$23:J51))</f>
        <v>0</v>
      </c>
    </row>
    <row r="52" spans="1:24" ht="24" hidden="1" thickBot="1" x14ac:dyDescent="0.3">
      <c r="A52" s="64"/>
      <c r="B52" s="94" t="str">
        <f t="shared" si="2"/>
        <v/>
      </c>
      <c r="C52" s="179" t="str">
        <f>IF(B52="","",VLOOKUP(L52,Tabella_prezzi!$A$3:$J$308,9,FALSE))</f>
        <v/>
      </c>
      <c r="D52" s="95" t="str">
        <f>IF(B52="","",VLOOKUP(L52,Tabella_prezzi!$A$3:$J$308,6,FALSE))</f>
        <v/>
      </c>
      <c r="E52" s="96" t="str">
        <f>IF(B52="","",VLOOKUP(L52,Tabella_prezzi!$A$3:$J$308,8,FALSE))</f>
        <v/>
      </c>
      <c r="F52" s="97" t="str">
        <f>IF(B52="","",VLOOKUP(L52,Tabella_prezzi!$A$3:$J$308,4,FALSE))</f>
        <v/>
      </c>
      <c r="G52" s="98" t="str">
        <f t="shared" si="3"/>
        <v/>
      </c>
      <c r="H52" s="65"/>
      <c r="I52" s="63"/>
      <c r="J52" s="1">
        <f t="shared" si="4"/>
        <v>0</v>
      </c>
      <c r="K52" s="44" t="str">
        <f>VLOOKUP(L52,Tabella_prezzi!A30:J336,6,FALSE)</f>
        <v>TS3L2-H840</v>
      </c>
      <c r="L52" s="45" t="s">
        <v>346</v>
      </c>
      <c r="M52" s="1">
        <f t="shared" si="14"/>
        <v>0</v>
      </c>
      <c r="N52" s="1">
        <f t="shared" si="15"/>
        <v>0</v>
      </c>
      <c r="O52" s="1">
        <f t="shared" si="16"/>
        <v>0</v>
      </c>
      <c r="P52" s="1">
        <f t="shared" ref="P52:P53" si="17">SUM(M52:O52)</f>
        <v>0</v>
      </c>
      <c r="Q52" s="46"/>
      <c r="R52" s="47"/>
      <c r="S52" s="46"/>
      <c r="T52" s="47"/>
      <c r="U52" s="46"/>
      <c r="V52" s="47"/>
      <c r="X52" t="b">
        <f>ISODD(SUM($J$23:J52))</f>
        <v>0</v>
      </c>
    </row>
    <row r="53" spans="1:24" ht="24" hidden="1" thickBot="1" x14ac:dyDescent="0.3">
      <c r="A53" s="64"/>
      <c r="B53" s="94" t="str">
        <f t="shared" si="2"/>
        <v/>
      </c>
      <c r="C53" s="179" t="str">
        <f>IF(B53="","",VLOOKUP(L53,Tabella_prezzi!$A$3:$J$308,9,FALSE))</f>
        <v/>
      </c>
      <c r="D53" s="95" t="str">
        <f>IF(B53="","",VLOOKUP(L53,Tabella_prezzi!$A$3:$J$308,6,FALSE))</f>
        <v/>
      </c>
      <c r="E53" s="96" t="str">
        <f>IF(B53="","",VLOOKUP(L53,Tabella_prezzi!$A$3:$J$308,8,FALSE))</f>
        <v/>
      </c>
      <c r="F53" s="97" t="str">
        <f>IF(B53="","",VLOOKUP(L53,Tabella_prezzi!$A$3:$J$308,4,FALSE))</f>
        <v/>
      </c>
      <c r="G53" s="98" t="str">
        <f t="shared" ref="G53" si="18">IF(C53="","",F53*B53)</f>
        <v/>
      </c>
      <c r="H53" s="65"/>
      <c r="I53" s="63"/>
      <c r="J53" s="1">
        <f t="shared" si="4"/>
        <v>0</v>
      </c>
      <c r="K53" s="44" t="str">
        <f>VLOOKUP(L53,Tabella_prezzi!A31:J337,6,FALSE)</f>
        <v>TS3L2-H740P</v>
      </c>
      <c r="L53" s="48" t="s">
        <v>349</v>
      </c>
      <c r="M53" s="1">
        <f>COUNTIF(L2N_1,L53)*$M$22</f>
        <v>0</v>
      </c>
      <c r="N53" s="1">
        <f>COUNTIF(L2N_2,L53)*$N$22</f>
        <v>0</v>
      </c>
      <c r="O53" s="1">
        <f>COUNTIF(L2N_3,L53)*$O$22</f>
        <v>0</v>
      </c>
      <c r="P53" s="1">
        <f t="shared" si="17"/>
        <v>0</v>
      </c>
      <c r="Q53" s="46"/>
      <c r="R53" s="47"/>
      <c r="S53" s="46"/>
      <c r="T53" s="47"/>
      <c r="U53" s="46"/>
      <c r="V53" s="47"/>
      <c r="X53" t="b">
        <f>ISODD(SUM($J$23:J53))</f>
        <v>0</v>
      </c>
    </row>
    <row r="54" spans="1:24" ht="24" hidden="1" thickBot="1" x14ac:dyDescent="0.3">
      <c r="A54" s="64"/>
      <c r="B54" s="94" t="str">
        <f t="shared" si="2"/>
        <v/>
      </c>
      <c r="C54" s="179" t="str">
        <f>IF(B54="","",VLOOKUP(L54,Tabella_prezzi!$A$3:$J$308,9,FALSE))</f>
        <v/>
      </c>
      <c r="D54" s="95" t="str">
        <f>IF(B54="","",VLOOKUP(L54,Tabella_prezzi!$A$3:$J$308,6,FALSE))</f>
        <v/>
      </c>
      <c r="E54" s="96" t="str">
        <f>IF(B54="","",VLOOKUP(L54,Tabella_prezzi!$A$3:$J$308,8,FALSE))</f>
        <v/>
      </c>
      <c r="F54" s="97" t="str">
        <f>IF(B54="","",VLOOKUP(L54,Tabella_prezzi!$A$3:$J$308,4,FALSE))</f>
        <v/>
      </c>
      <c r="G54" s="98" t="str">
        <f t="shared" si="3"/>
        <v/>
      </c>
      <c r="H54" s="65"/>
      <c r="I54" s="63"/>
      <c r="J54" s="1">
        <f t="shared" si="4"/>
        <v>0</v>
      </c>
      <c r="K54" s="44" t="str">
        <f>VLOOKUP(L54,Tabella_prezzi!A32:J338,6,FALSE)</f>
        <v>TS3L2-CNA10M3</v>
      </c>
      <c r="L54" s="45" t="s">
        <v>348</v>
      </c>
      <c r="M54" s="1">
        <f t="shared" si="14"/>
        <v>0</v>
      </c>
      <c r="N54" s="1">
        <f t="shared" si="15"/>
        <v>0</v>
      </c>
      <c r="O54" s="1">
        <f t="shared" si="16"/>
        <v>0</v>
      </c>
      <c r="P54" s="1">
        <f t="shared" si="1"/>
        <v>0</v>
      </c>
      <c r="X54" t="b">
        <f>ISODD(SUM($J$23:J54))</f>
        <v>0</v>
      </c>
    </row>
    <row r="55" spans="1:24" ht="23.25" hidden="1" x14ac:dyDescent="0.2">
      <c r="A55" s="64"/>
      <c r="B55" s="268" t="s">
        <v>152</v>
      </c>
      <c r="C55" s="268"/>
      <c r="D55" s="268"/>
      <c r="E55" s="268"/>
      <c r="F55" s="268"/>
      <c r="G55" s="85">
        <f>SUM(G23:G41)</f>
        <v>0</v>
      </c>
      <c r="H55" s="65"/>
      <c r="I55" s="63"/>
      <c r="J55" s="1">
        <f>IF(G55=0,0,1)</f>
        <v>0</v>
      </c>
    </row>
    <row r="56" spans="1:24" ht="23.25" hidden="1" x14ac:dyDescent="0.2">
      <c r="A56" s="64"/>
      <c r="B56" s="266" t="s">
        <v>258</v>
      </c>
      <c r="C56" s="267"/>
      <c r="D56" s="181">
        <f>G55/100*20</f>
        <v>0</v>
      </c>
      <c r="E56" s="264" t="s">
        <v>257</v>
      </c>
      <c r="F56" s="265"/>
      <c r="G56" s="86">
        <f>SUM(G44:G54)</f>
        <v>0</v>
      </c>
      <c r="H56" s="65"/>
      <c r="I56" s="63"/>
      <c r="J56" s="1">
        <f t="shared" ref="J56:J59" si="19">IF(G56=0,0,1)</f>
        <v>0</v>
      </c>
    </row>
    <row r="57" spans="1:24" ht="23.25" hidden="1" x14ac:dyDescent="0.2">
      <c r="A57" s="64"/>
      <c r="B57" s="268" t="s">
        <v>231</v>
      </c>
      <c r="C57" s="268"/>
      <c r="D57" s="268"/>
      <c r="E57" s="268"/>
      <c r="F57" s="268"/>
      <c r="G57" s="85">
        <f>G56+G55</f>
        <v>0</v>
      </c>
      <c r="H57" s="65"/>
      <c r="I57" s="63"/>
      <c r="J57" s="1">
        <f t="shared" si="19"/>
        <v>0</v>
      </c>
    </row>
    <row r="58" spans="1:24" ht="23.25" hidden="1" x14ac:dyDescent="0.2">
      <c r="A58" s="64"/>
      <c r="B58" s="268" t="s">
        <v>256</v>
      </c>
      <c r="C58" s="268"/>
      <c r="D58" s="268"/>
      <c r="E58" s="268"/>
      <c r="F58" s="268"/>
      <c r="G58" s="85">
        <f>G57/100*22</f>
        <v>0</v>
      </c>
      <c r="H58" s="65"/>
      <c r="I58" s="63"/>
      <c r="J58" s="1">
        <f t="shared" si="19"/>
        <v>0</v>
      </c>
    </row>
    <row r="59" spans="1:24" ht="23.25" hidden="1" x14ac:dyDescent="0.2">
      <c r="A59" s="64"/>
      <c r="B59" s="263" t="s">
        <v>232</v>
      </c>
      <c r="C59" s="263"/>
      <c r="D59" s="263"/>
      <c r="E59" s="263"/>
      <c r="F59" s="263"/>
      <c r="G59" s="100">
        <f>G57+G58</f>
        <v>0</v>
      </c>
      <c r="H59" s="65"/>
      <c r="I59" s="63"/>
      <c r="J59" s="1">
        <f t="shared" si="19"/>
        <v>0</v>
      </c>
    </row>
    <row r="60" spans="1:24" ht="13.5" thickBot="1" x14ac:dyDescent="0.25">
      <c r="A60" s="71"/>
      <c r="B60" s="80"/>
      <c r="C60" s="80"/>
      <c r="D60" s="80"/>
      <c r="E60" s="80"/>
      <c r="F60" s="80"/>
      <c r="G60" s="80"/>
      <c r="H60" s="75"/>
      <c r="I60" s="63"/>
      <c r="J60" s="1">
        <v>1</v>
      </c>
    </row>
  </sheetData>
  <sheetProtection algorithmName="SHA-512" hashValue="Kr5UXZGb40XLy+FF5ktw4ydBWjsPz+++rLWPNZFaX1BpOQ7UgmS9vn6bYryCYo0mL66LJUnqmkLSqq+zBc5E7g==" saltValue="/YVhB9KPKK9UNkqa5n4AMQ==" spinCount="100000" sheet="1" objects="1" scenarios="1"/>
  <autoFilter ref="J1:J60" xr:uid="{00000000-0009-0000-0000-000006000000}">
    <filterColumn colId="0">
      <filters>
        <filter val="1"/>
      </filters>
    </filterColumn>
  </autoFilter>
  <mergeCells count="19">
    <mergeCell ref="B42:G42"/>
    <mergeCell ref="B21:G21"/>
    <mergeCell ref="E18:G18"/>
    <mergeCell ref="D2:G2"/>
    <mergeCell ref="B16:C16"/>
    <mergeCell ref="D11:G11"/>
    <mergeCell ref="D16:G16"/>
    <mergeCell ref="E13:G13"/>
    <mergeCell ref="B2:C2"/>
    <mergeCell ref="B4:C4"/>
    <mergeCell ref="B6:C6"/>
    <mergeCell ref="B8:C8"/>
    <mergeCell ref="B11:C11"/>
    <mergeCell ref="B59:F59"/>
    <mergeCell ref="E56:F56"/>
    <mergeCell ref="B56:C56"/>
    <mergeCell ref="B55:F55"/>
    <mergeCell ref="B57:F57"/>
    <mergeCell ref="B58:F58"/>
  </mergeCells>
  <conditionalFormatting sqref="E4 E6">
    <cfRule type="expression" dxfId="9" priority="49">
      <formula>$M7=""</formula>
    </cfRule>
  </conditionalFormatting>
  <conditionalFormatting sqref="B23:G23 C24:F41">
    <cfRule type="expression" dxfId="8" priority="10">
      <formula>$X23=TRUE</formula>
    </cfRule>
  </conditionalFormatting>
  <conditionalFormatting sqref="B44">
    <cfRule type="expression" dxfId="7" priority="8">
      <formula>$X44=TRUE</formula>
    </cfRule>
  </conditionalFormatting>
  <conditionalFormatting sqref="B45:B54 G45:G54">
    <cfRule type="expression" dxfId="6" priority="7">
      <formula>$X45=TRUE</formula>
    </cfRule>
  </conditionalFormatting>
  <conditionalFormatting sqref="B24:B41 G24:G41">
    <cfRule type="expression" dxfId="5" priority="6">
      <formula>$X24=TRUE</formula>
    </cfRule>
  </conditionalFormatting>
  <conditionalFormatting sqref="E7">
    <cfRule type="expression" dxfId="4" priority="5">
      <formula>$M10=""</formula>
    </cfRule>
  </conditionalFormatting>
  <conditionalFormatting sqref="E5">
    <cfRule type="expression" dxfId="3" priority="4">
      <formula>$M8=""</formula>
    </cfRule>
  </conditionalFormatting>
  <conditionalFormatting sqref="C44:C54">
    <cfRule type="expression" dxfId="2" priority="2">
      <formula>$X44=TRUE</formula>
    </cfRule>
  </conditionalFormatting>
  <conditionalFormatting sqref="D44:G44 D45:F54">
    <cfRule type="expression" dxfId="1" priority="1">
      <formula>$X44=TRUE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portrait" verticalDpi="0" r:id="rId1"/>
  <headerFooter>
    <oddHeader>&amp;LInviare via mail a:
ordini-ts3-lotto2@converge.it&amp;RStampato il &amp;D</oddHeader>
    <oddFooter>&amp;CCopyright 2020 Converge S.p.A. -All Right Reserved&amp;RPagina &amp;P di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SalvaPDF">
          <controlPr defaultSize="0" print="0" disabled="1" autoLine="0" autoPict="0" r:id="rId5">
            <anchor moveWithCells="1">
              <from>
                <xdr:col>6</xdr:col>
                <xdr:colOff>85725</xdr:colOff>
                <xdr:row>4</xdr:row>
                <xdr:rowOff>76200</xdr:rowOff>
              </from>
              <to>
                <xdr:col>6</xdr:col>
                <xdr:colOff>1495425</xdr:colOff>
                <xdr:row>6</xdr:row>
                <xdr:rowOff>76200</xdr:rowOff>
              </to>
            </anchor>
          </controlPr>
        </control>
      </mc:Choice>
      <mc:Fallback>
        <control shapeId="4097" r:id="rId4" name="SalvaPDF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 filterMode="1">
    <tabColor rgb="FFC00000"/>
    <pageSetUpPr fitToPage="1"/>
  </sheetPr>
  <dimension ref="A1:W56"/>
  <sheetViews>
    <sheetView zoomScaleNormal="100" workbookViewId="0">
      <selection activeCell="I12" sqref="I12"/>
    </sheetView>
  </sheetViews>
  <sheetFormatPr defaultColWidth="0" defaultRowHeight="15" zeroHeight="1" x14ac:dyDescent="0.25"/>
  <cols>
    <col min="1" max="1" width="0.7109375" customWidth="1"/>
    <col min="2" max="2" width="6.85546875" bestFit="1" customWidth="1"/>
    <col min="3" max="3" width="30.85546875" bestFit="1" customWidth="1"/>
    <col min="4" max="4" width="1.7109375" customWidth="1"/>
    <col min="5" max="5" width="6.85546875" bestFit="1" customWidth="1"/>
    <col min="6" max="6" width="30.85546875" customWidth="1"/>
    <col min="7" max="7" width="1.7109375" customWidth="1"/>
    <col min="8" max="8" width="6.85546875" bestFit="1" customWidth="1"/>
    <col min="9" max="9" width="30.85546875" customWidth="1"/>
    <col min="10" max="10" width="0.85546875" customWidth="1"/>
    <col min="11" max="11" width="0.28515625" customWidth="1"/>
    <col min="12" max="12" width="5" hidden="1" customWidth="1"/>
    <col min="13" max="14" width="1.42578125" hidden="1" customWidth="1"/>
    <col min="15" max="15" width="5" hidden="1" customWidth="1"/>
    <col min="16" max="17" width="1.42578125" hidden="1" customWidth="1"/>
    <col min="18" max="18" width="5" hidden="1" customWidth="1"/>
    <col min="19" max="20" width="1.42578125" hidden="1" customWidth="1"/>
    <col min="21" max="21" width="10.140625" hidden="1" customWidth="1"/>
    <col min="22" max="16384" width="9.140625" hidden="1"/>
  </cols>
  <sheetData>
    <row r="1" spans="1:23" ht="15.75" thickBot="1" x14ac:dyDescent="0.3">
      <c r="A1" s="103"/>
      <c r="B1" s="104"/>
      <c r="C1" s="104"/>
      <c r="D1" s="104"/>
      <c r="E1" s="104"/>
      <c r="F1" s="104"/>
      <c r="G1" s="104"/>
      <c r="H1" s="104"/>
      <c r="I1" s="104"/>
      <c r="J1" s="105"/>
      <c r="K1" s="106"/>
      <c r="V1">
        <v>1</v>
      </c>
    </row>
    <row r="2" spans="1:23" ht="15.75" thickBot="1" x14ac:dyDescent="0.3">
      <c r="A2" s="107"/>
      <c r="B2" s="108">
        <f>Riepilogo!M22</f>
        <v>0</v>
      </c>
      <c r="C2" s="133" t="s">
        <v>560</v>
      </c>
      <c r="D2" s="134"/>
      <c r="E2" s="135">
        <f>Riepilogo!N22</f>
        <v>0</v>
      </c>
      <c r="F2" s="133" t="s">
        <v>561</v>
      </c>
      <c r="G2" s="134"/>
      <c r="H2" s="135">
        <f>Riepilogo!O22</f>
        <v>0</v>
      </c>
      <c r="I2" s="133" t="s">
        <v>562</v>
      </c>
      <c r="J2" s="109"/>
      <c r="K2" s="106"/>
      <c r="V2">
        <v>1</v>
      </c>
    </row>
    <row r="3" spans="1:23" hidden="1" x14ac:dyDescent="0.25">
      <c r="A3" s="107"/>
      <c r="B3" s="110"/>
      <c r="C3" s="63"/>
      <c r="D3" s="106"/>
      <c r="E3" s="110"/>
      <c r="F3" s="63"/>
      <c r="G3" s="106"/>
      <c r="H3" s="110"/>
      <c r="I3" s="63"/>
      <c r="J3" s="109"/>
      <c r="K3" s="106"/>
      <c r="V3">
        <f>IF($U$4&gt;0,1,0)</f>
        <v>0</v>
      </c>
    </row>
    <row r="4" spans="1:23" hidden="1" x14ac:dyDescent="0.25">
      <c r="A4" s="107"/>
      <c r="B4" s="111" t="str">
        <f>IF(Riepilogo!M23&gt;0,Riepilogo!M23/$B$2,"")</f>
        <v/>
      </c>
      <c r="C4" s="112" t="str">
        <f>IF(B4="","",Riepilogo!K23)</f>
        <v/>
      </c>
      <c r="D4" s="106"/>
      <c r="E4" s="111" t="str">
        <f>IF(Riepilogo!N23&gt;0,Riepilogo!N23/$E$2,"")</f>
        <v/>
      </c>
      <c r="F4" s="112" t="str">
        <f>IF(E4="","",Riepilogo!K23)</f>
        <v/>
      </c>
      <c r="G4" s="106"/>
      <c r="H4" s="111" t="str">
        <f>IF(Riepilogo!O23&gt;0,Riepilogo!O23/$H$2,"")</f>
        <v/>
      </c>
      <c r="I4" s="112" t="str">
        <f>IF(H4="","",Riepilogo!K23)</f>
        <v/>
      </c>
      <c r="J4" s="109"/>
      <c r="K4" s="106"/>
      <c r="L4">
        <f>IF(B4="",0,B4)</f>
        <v>0</v>
      </c>
      <c r="O4">
        <f>IF(E4="",0,E4)</f>
        <v>0</v>
      </c>
      <c r="R4">
        <f>IF(H4="",0,H4)</f>
        <v>0</v>
      </c>
      <c r="U4">
        <f>SUM(L4:T4)</f>
        <v>0</v>
      </c>
      <c r="V4">
        <f>IF(U4&gt;0,1,0)</f>
        <v>0</v>
      </c>
      <c r="W4" t="b">
        <f>ISODD(V4)</f>
        <v>0</v>
      </c>
    </row>
    <row r="5" spans="1:23" hidden="1" x14ac:dyDescent="0.25">
      <c r="A5" s="107"/>
      <c r="B5" s="111" t="str">
        <f>IF(Riepilogo!M24&gt;0,Riepilogo!M24/$B$2,"")</f>
        <v/>
      </c>
      <c r="C5" s="112" t="str">
        <f>IF(B5="","",Riepilogo!K24)</f>
        <v/>
      </c>
      <c r="D5" s="106"/>
      <c r="E5" s="111" t="str">
        <f>IF(Riepilogo!N24&gt;0,Riepilogo!N24/$E$2,"")</f>
        <v/>
      </c>
      <c r="F5" s="112" t="str">
        <f>IF(E5="","",Riepilogo!K24)</f>
        <v/>
      </c>
      <c r="G5" s="106"/>
      <c r="H5" s="111" t="str">
        <f>IF(Riepilogo!O24&gt;0,Riepilogo!O24/$H$2,"")</f>
        <v/>
      </c>
      <c r="I5" s="112" t="str">
        <f>IF(H5="","",Riepilogo!K24)</f>
        <v/>
      </c>
      <c r="J5" s="109"/>
      <c r="K5" s="106"/>
      <c r="L5">
        <f t="shared" ref="L5:L33" si="0">IF(B5="",0,B5)</f>
        <v>0</v>
      </c>
      <c r="O5">
        <f t="shared" ref="O5:O33" si="1">IF(E5="",0,E5)</f>
        <v>0</v>
      </c>
      <c r="R5">
        <f t="shared" ref="R5:R33" si="2">IF(H5="",0,H5)</f>
        <v>0</v>
      </c>
      <c r="U5">
        <f t="shared" ref="U5:U33" si="3">SUM(L5:T5)</f>
        <v>0</v>
      </c>
      <c r="V5">
        <f t="shared" ref="V5:V33" si="4">IF(U5&gt;0,1,0)</f>
        <v>0</v>
      </c>
      <c r="W5" t="b">
        <f>ISODD(SUM($V$4:V5))</f>
        <v>0</v>
      </c>
    </row>
    <row r="6" spans="1:23" hidden="1" x14ac:dyDescent="0.25">
      <c r="A6" s="107"/>
      <c r="B6" s="111" t="str">
        <f>IF(Riepilogo!M25&gt;0,Riepilogo!M25/$B$2,"")</f>
        <v/>
      </c>
      <c r="C6" s="112" t="str">
        <f>IF(B6="","",Riepilogo!K25)</f>
        <v/>
      </c>
      <c r="D6" s="106"/>
      <c r="E6" s="111" t="str">
        <f>IF(Riepilogo!N25&gt;0,Riepilogo!N25/$E$2,"")</f>
        <v/>
      </c>
      <c r="F6" s="112" t="str">
        <f>IF(E6="","",Riepilogo!K25)</f>
        <v/>
      </c>
      <c r="G6" s="106"/>
      <c r="H6" s="111" t="str">
        <f>IF(Riepilogo!O25&gt;0,Riepilogo!O25/$H$2,"")</f>
        <v/>
      </c>
      <c r="I6" s="112" t="str">
        <f>IF(H6="","",Riepilogo!K25)</f>
        <v/>
      </c>
      <c r="J6" s="109"/>
      <c r="K6" s="106"/>
      <c r="L6">
        <f t="shared" si="0"/>
        <v>0</v>
      </c>
      <c r="O6">
        <f t="shared" si="1"/>
        <v>0</v>
      </c>
      <c r="R6">
        <f t="shared" si="2"/>
        <v>0</v>
      </c>
      <c r="U6">
        <f t="shared" si="3"/>
        <v>0</v>
      </c>
      <c r="V6">
        <f t="shared" si="4"/>
        <v>0</v>
      </c>
      <c r="W6" t="b">
        <f>ISODD(SUM($V$4:V6))</f>
        <v>0</v>
      </c>
    </row>
    <row r="7" spans="1:23" hidden="1" x14ac:dyDescent="0.25">
      <c r="A7" s="107"/>
      <c r="B7" s="111" t="str">
        <f>IF(Riepilogo!M26&gt;0,Riepilogo!M26/$B$2,"")</f>
        <v/>
      </c>
      <c r="C7" s="112" t="str">
        <f>IF(B7="","",Riepilogo!K26)</f>
        <v/>
      </c>
      <c r="D7" s="106"/>
      <c r="E7" s="111" t="str">
        <f>IF(Riepilogo!N26&gt;0,Riepilogo!N26/$E$2,"")</f>
        <v/>
      </c>
      <c r="F7" s="112" t="str">
        <f>IF(E7="","",Riepilogo!K26)</f>
        <v/>
      </c>
      <c r="G7" s="106"/>
      <c r="H7" s="111" t="str">
        <f>IF(Riepilogo!O26&gt;0,Riepilogo!O26/$H$2,"")</f>
        <v/>
      </c>
      <c r="I7" s="112" t="str">
        <f>IF(H7="","",Riepilogo!K26)</f>
        <v/>
      </c>
      <c r="J7" s="109"/>
      <c r="K7" s="106"/>
      <c r="L7">
        <f t="shared" si="0"/>
        <v>0</v>
      </c>
      <c r="O7">
        <f t="shared" si="1"/>
        <v>0</v>
      </c>
      <c r="R7">
        <f t="shared" si="2"/>
        <v>0</v>
      </c>
      <c r="U7">
        <f t="shared" si="3"/>
        <v>0</v>
      </c>
      <c r="V7">
        <f t="shared" si="4"/>
        <v>0</v>
      </c>
      <c r="W7" t="b">
        <f>ISODD(SUM($V$4:V7))</f>
        <v>0</v>
      </c>
    </row>
    <row r="8" spans="1:23" hidden="1" x14ac:dyDescent="0.25">
      <c r="A8" s="107"/>
      <c r="B8" s="111" t="str">
        <f>IF(Riepilogo!M27&gt;0,Riepilogo!M27/$B$2,"")</f>
        <v/>
      </c>
      <c r="C8" s="112" t="str">
        <f>IF(B8="","",Riepilogo!K27)</f>
        <v/>
      </c>
      <c r="D8" s="106"/>
      <c r="E8" s="111" t="str">
        <f>IF(Riepilogo!N27&gt;0,Riepilogo!N27/$E$2,"")</f>
        <v/>
      </c>
      <c r="F8" s="112" t="str">
        <f>IF(E8="","",Riepilogo!K27)</f>
        <v/>
      </c>
      <c r="G8" s="106"/>
      <c r="H8" s="111" t="str">
        <f>IF(Riepilogo!O27&gt;0,Riepilogo!O27/$H$2,"")</f>
        <v/>
      </c>
      <c r="I8" s="112" t="str">
        <f>IF(H8="","",Riepilogo!K27)</f>
        <v/>
      </c>
      <c r="J8" s="109"/>
      <c r="K8" s="106"/>
      <c r="L8">
        <f t="shared" si="0"/>
        <v>0</v>
      </c>
      <c r="O8">
        <f t="shared" si="1"/>
        <v>0</v>
      </c>
      <c r="R8">
        <f t="shared" si="2"/>
        <v>0</v>
      </c>
      <c r="U8">
        <f t="shared" si="3"/>
        <v>0</v>
      </c>
      <c r="V8">
        <f t="shared" si="4"/>
        <v>0</v>
      </c>
      <c r="W8" t="b">
        <f>ISODD(SUM($V$4:V8))</f>
        <v>0</v>
      </c>
    </row>
    <row r="9" spans="1:23" hidden="1" x14ac:dyDescent="0.25">
      <c r="A9" s="107"/>
      <c r="B9" s="111" t="str">
        <f>IF(Riepilogo!M28&gt;0,Riepilogo!M28/$B$2,"")</f>
        <v/>
      </c>
      <c r="C9" s="112" t="str">
        <f>IF(B9="","",Riepilogo!K28)</f>
        <v/>
      </c>
      <c r="D9" s="106"/>
      <c r="E9" s="111" t="str">
        <f>IF(Riepilogo!N28&gt;0,Riepilogo!N28/$E$2,"")</f>
        <v/>
      </c>
      <c r="F9" s="112" t="str">
        <f>IF(E9="","",Riepilogo!K28)</f>
        <v/>
      </c>
      <c r="G9" s="106"/>
      <c r="H9" s="111" t="str">
        <f>IF(Riepilogo!O28&gt;0,Riepilogo!O28/$H$2,"")</f>
        <v/>
      </c>
      <c r="I9" s="112" t="str">
        <f>IF(H9="","",Riepilogo!K28)</f>
        <v/>
      </c>
      <c r="J9" s="109"/>
      <c r="K9" s="106"/>
      <c r="L9">
        <f t="shared" si="0"/>
        <v>0</v>
      </c>
      <c r="O9">
        <f t="shared" si="1"/>
        <v>0</v>
      </c>
      <c r="R9">
        <f t="shared" si="2"/>
        <v>0</v>
      </c>
      <c r="U9">
        <f t="shared" si="3"/>
        <v>0</v>
      </c>
      <c r="V9">
        <f t="shared" si="4"/>
        <v>0</v>
      </c>
      <c r="W9" t="b">
        <f>ISODD(SUM($V$4:V9))</f>
        <v>0</v>
      </c>
    </row>
    <row r="10" spans="1:23" hidden="1" x14ac:dyDescent="0.25">
      <c r="A10" s="107"/>
      <c r="B10" s="111" t="str">
        <f>IF(Riepilogo!M29&gt;0,Riepilogo!M29/$B$2,"")</f>
        <v/>
      </c>
      <c r="C10" s="112" t="str">
        <f>IF(B10="","",Riepilogo!K29)</f>
        <v/>
      </c>
      <c r="D10" s="106"/>
      <c r="E10" s="111" t="str">
        <f>IF(Riepilogo!N29&gt;0,Riepilogo!N29/$E$2,"")</f>
        <v/>
      </c>
      <c r="F10" s="112" t="str">
        <f>IF(E10="","",Riepilogo!K29)</f>
        <v/>
      </c>
      <c r="G10" s="106"/>
      <c r="H10" s="111" t="str">
        <f>IF(Riepilogo!O29&gt;0,Riepilogo!O29/$H$2,"")</f>
        <v/>
      </c>
      <c r="I10" s="112" t="str">
        <f>IF(H10="","",Riepilogo!K29)</f>
        <v/>
      </c>
      <c r="J10" s="109"/>
      <c r="K10" s="106"/>
      <c r="L10">
        <f t="shared" si="0"/>
        <v>0</v>
      </c>
      <c r="O10">
        <f t="shared" si="1"/>
        <v>0</v>
      </c>
      <c r="R10">
        <f t="shared" si="2"/>
        <v>0</v>
      </c>
      <c r="U10">
        <f t="shared" si="3"/>
        <v>0</v>
      </c>
      <c r="V10">
        <f t="shared" si="4"/>
        <v>0</v>
      </c>
      <c r="W10" t="b">
        <f>ISODD(SUM($V$4:V10))</f>
        <v>0</v>
      </c>
    </row>
    <row r="11" spans="1:23" hidden="1" x14ac:dyDescent="0.25">
      <c r="A11" s="107"/>
      <c r="B11" s="111" t="str">
        <f>IF(Riepilogo!M30&gt;0,Riepilogo!M30/$B$2,"")</f>
        <v/>
      </c>
      <c r="C11" s="112" t="str">
        <f>IF(B11="","",Riepilogo!K30)</f>
        <v/>
      </c>
      <c r="D11" s="106"/>
      <c r="E11" s="111" t="str">
        <f>IF(Riepilogo!N30&gt;0,Riepilogo!N30/$E$2,"")</f>
        <v/>
      </c>
      <c r="F11" s="112" t="str">
        <f>IF(E11="","",Riepilogo!K30)</f>
        <v/>
      </c>
      <c r="G11" s="106"/>
      <c r="H11" s="111" t="str">
        <f>IF(Riepilogo!O30&gt;0,Riepilogo!O30/$H$2,"")</f>
        <v/>
      </c>
      <c r="I11" s="112" t="str">
        <f>IF(H11="","",Riepilogo!K30)</f>
        <v/>
      </c>
      <c r="J11" s="109"/>
      <c r="K11" s="106"/>
      <c r="L11">
        <f t="shared" si="0"/>
        <v>0</v>
      </c>
      <c r="O11">
        <f t="shared" si="1"/>
        <v>0</v>
      </c>
      <c r="R11">
        <f t="shared" si="2"/>
        <v>0</v>
      </c>
      <c r="U11">
        <f t="shared" si="3"/>
        <v>0</v>
      </c>
      <c r="V11">
        <f t="shared" si="4"/>
        <v>0</v>
      </c>
      <c r="W11" t="b">
        <f>ISODD(SUM($V$4:V11))</f>
        <v>0</v>
      </c>
    </row>
    <row r="12" spans="1:23" hidden="1" x14ac:dyDescent="0.25">
      <c r="A12" s="107"/>
      <c r="B12" s="111" t="str">
        <f>IF(Riepilogo!M31&gt;0,Riepilogo!M31/$B$2,"")</f>
        <v/>
      </c>
      <c r="C12" s="112" t="str">
        <f>IF(B12="","",Riepilogo!K31)</f>
        <v/>
      </c>
      <c r="D12" s="106"/>
      <c r="E12" s="111" t="str">
        <f>IF(Riepilogo!N31&gt;0,Riepilogo!N31/$E$2,"")</f>
        <v/>
      </c>
      <c r="F12" s="112" t="str">
        <f>IF(E12="","",Riepilogo!K31)</f>
        <v/>
      </c>
      <c r="G12" s="106"/>
      <c r="H12" s="111" t="str">
        <f>IF(Riepilogo!O31&gt;0,Riepilogo!O31/$H$2,"")</f>
        <v/>
      </c>
      <c r="I12" s="112" t="str">
        <f>IF(H12="","",Riepilogo!K31)</f>
        <v/>
      </c>
      <c r="J12" s="109"/>
      <c r="K12" s="106"/>
      <c r="L12">
        <f t="shared" si="0"/>
        <v>0</v>
      </c>
      <c r="O12">
        <f t="shared" si="1"/>
        <v>0</v>
      </c>
      <c r="R12">
        <f t="shared" si="2"/>
        <v>0</v>
      </c>
      <c r="U12">
        <f t="shared" si="3"/>
        <v>0</v>
      </c>
      <c r="V12">
        <f t="shared" si="4"/>
        <v>0</v>
      </c>
      <c r="W12" t="b">
        <f>ISODD(SUM($V$4:V12))</f>
        <v>0</v>
      </c>
    </row>
    <row r="13" spans="1:23" hidden="1" x14ac:dyDescent="0.25">
      <c r="A13" s="107"/>
      <c r="B13" s="111" t="str">
        <f>IF(Riepilogo!M32&gt;0,Riepilogo!M32/$B$2,"")</f>
        <v/>
      </c>
      <c r="C13" s="112" t="str">
        <f>IF(B13="","",Riepilogo!K32)</f>
        <v/>
      </c>
      <c r="D13" s="106"/>
      <c r="E13" s="111" t="str">
        <f>IF(Riepilogo!N32&gt;0,Riepilogo!N32/$E$2,"")</f>
        <v/>
      </c>
      <c r="F13" s="112" t="str">
        <f>IF(E13="","",Riepilogo!K32)</f>
        <v/>
      </c>
      <c r="G13" s="106"/>
      <c r="H13" s="111" t="str">
        <f>IF(Riepilogo!O32&gt;0,Riepilogo!O32/$H$2,"")</f>
        <v/>
      </c>
      <c r="I13" s="112" t="str">
        <f>IF(H13="","",Riepilogo!K32)</f>
        <v/>
      </c>
      <c r="J13" s="109"/>
      <c r="K13" s="106"/>
      <c r="L13">
        <f t="shared" si="0"/>
        <v>0</v>
      </c>
      <c r="O13">
        <f t="shared" si="1"/>
        <v>0</v>
      </c>
      <c r="R13">
        <f t="shared" si="2"/>
        <v>0</v>
      </c>
      <c r="U13">
        <f t="shared" si="3"/>
        <v>0</v>
      </c>
      <c r="V13">
        <f t="shared" si="4"/>
        <v>0</v>
      </c>
      <c r="W13" t="b">
        <f>ISODD(SUM($V$4:V13))</f>
        <v>0</v>
      </c>
    </row>
    <row r="14" spans="1:23" hidden="1" x14ac:dyDescent="0.25">
      <c r="A14" s="107"/>
      <c r="B14" s="111" t="str">
        <f>IF(Riepilogo!M33&gt;0,Riepilogo!M33/$B$2,"")</f>
        <v/>
      </c>
      <c r="C14" s="112" t="str">
        <f>IF(B14="","",Riepilogo!K33)</f>
        <v/>
      </c>
      <c r="D14" s="106"/>
      <c r="E14" s="111" t="str">
        <f>IF(Riepilogo!N33&gt;0,Riepilogo!N33/$E$2,"")</f>
        <v/>
      </c>
      <c r="F14" s="112" t="str">
        <f>IF(E14="","",Riepilogo!K33)</f>
        <v/>
      </c>
      <c r="G14" s="106"/>
      <c r="H14" s="111" t="str">
        <f>IF(Riepilogo!O33&gt;0,Riepilogo!O33/$H$2,"")</f>
        <v/>
      </c>
      <c r="I14" s="112" t="str">
        <f>IF(H14="","",Riepilogo!K33)</f>
        <v/>
      </c>
      <c r="J14" s="109"/>
      <c r="K14" s="106"/>
      <c r="L14">
        <f t="shared" si="0"/>
        <v>0</v>
      </c>
      <c r="O14">
        <f t="shared" si="1"/>
        <v>0</v>
      </c>
      <c r="R14">
        <f t="shared" si="2"/>
        <v>0</v>
      </c>
      <c r="U14">
        <f t="shared" si="3"/>
        <v>0</v>
      </c>
      <c r="V14">
        <f t="shared" si="4"/>
        <v>0</v>
      </c>
      <c r="W14" t="b">
        <f>ISODD(SUM($V$4:V14))</f>
        <v>0</v>
      </c>
    </row>
    <row r="15" spans="1:23" hidden="1" x14ac:dyDescent="0.25">
      <c r="A15" s="107"/>
      <c r="B15" s="111" t="str">
        <f>IF(Riepilogo!M34&gt;0,Riepilogo!M34/$B$2,"")</f>
        <v/>
      </c>
      <c r="C15" s="112" t="str">
        <f>IF(B15="","",Riepilogo!K34)</f>
        <v/>
      </c>
      <c r="D15" s="106"/>
      <c r="E15" s="111" t="str">
        <f>IF(Riepilogo!N34&gt;0,Riepilogo!N34/$E$2,"")</f>
        <v/>
      </c>
      <c r="F15" s="112" t="str">
        <f>IF(E15="","",Riepilogo!K34)</f>
        <v/>
      </c>
      <c r="G15" s="106"/>
      <c r="H15" s="111" t="str">
        <f>IF(Riepilogo!O34&gt;0,Riepilogo!O34/$H$2,"")</f>
        <v/>
      </c>
      <c r="I15" s="112" t="str">
        <f>IF(H15="","",Riepilogo!K34)</f>
        <v/>
      </c>
      <c r="J15" s="109"/>
      <c r="K15" s="106"/>
      <c r="L15">
        <f t="shared" si="0"/>
        <v>0</v>
      </c>
      <c r="O15">
        <f t="shared" si="1"/>
        <v>0</v>
      </c>
      <c r="R15">
        <f t="shared" si="2"/>
        <v>0</v>
      </c>
      <c r="U15">
        <f t="shared" si="3"/>
        <v>0</v>
      </c>
      <c r="V15">
        <f t="shared" si="4"/>
        <v>0</v>
      </c>
      <c r="W15" t="b">
        <f>ISODD(SUM($V$4:V15))</f>
        <v>0</v>
      </c>
    </row>
    <row r="16" spans="1:23" hidden="1" x14ac:dyDescent="0.25">
      <c r="A16" s="107"/>
      <c r="B16" s="111" t="str">
        <f>IF(Riepilogo!M35&gt;0,Riepilogo!M35/$B$2,"")</f>
        <v/>
      </c>
      <c r="C16" s="112" t="str">
        <f>IF(B16="","",Riepilogo!K35)</f>
        <v/>
      </c>
      <c r="D16" s="106"/>
      <c r="E16" s="111" t="str">
        <f>IF(Riepilogo!N35&gt;0,Riepilogo!N35/$E$2,"")</f>
        <v/>
      </c>
      <c r="F16" s="112" t="str">
        <f>IF(E16="","",Riepilogo!K35)</f>
        <v/>
      </c>
      <c r="G16" s="106"/>
      <c r="H16" s="111" t="str">
        <f>IF(Riepilogo!O35&gt;0,Riepilogo!O35/$H$2,"")</f>
        <v/>
      </c>
      <c r="I16" s="112" t="str">
        <f>IF(H16="","",Riepilogo!K35)</f>
        <v/>
      </c>
      <c r="J16" s="109"/>
      <c r="K16" s="106"/>
      <c r="L16">
        <f t="shared" si="0"/>
        <v>0</v>
      </c>
      <c r="O16">
        <f t="shared" si="1"/>
        <v>0</v>
      </c>
      <c r="R16">
        <f t="shared" si="2"/>
        <v>0</v>
      </c>
      <c r="U16">
        <f t="shared" si="3"/>
        <v>0</v>
      </c>
      <c r="V16">
        <f t="shared" si="4"/>
        <v>0</v>
      </c>
      <c r="W16" t="b">
        <f>ISODD(SUM($V$4:V16))</f>
        <v>0</v>
      </c>
    </row>
    <row r="17" spans="1:23" hidden="1" x14ac:dyDescent="0.25">
      <c r="A17" s="107"/>
      <c r="B17" s="111" t="str">
        <f>IF(Riepilogo!M36&gt;0,Riepilogo!M36/$B$2,"")</f>
        <v/>
      </c>
      <c r="C17" s="112" t="str">
        <f>IF(B17="","",Riepilogo!K36)</f>
        <v/>
      </c>
      <c r="D17" s="106"/>
      <c r="E17" s="111" t="str">
        <f>IF(Riepilogo!N36&gt;0,Riepilogo!N36/$E$2,"")</f>
        <v/>
      </c>
      <c r="F17" s="112" t="str">
        <f>IF(E17="","",Riepilogo!K36)</f>
        <v/>
      </c>
      <c r="G17" s="106"/>
      <c r="H17" s="111" t="str">
        <f>IF(Riepilogo!O36&gt;0,Riepilogo!O36/$H$2,"")</f>
        <v/>
      </c>
      <c r="I17" s="112" t="str">
        <f>IF(H17="","",Riepilogo!K36)</f>
        <v/>
      </c>
      <c r="J17" s="109"/>
      <c r="K17" s="106"/>
      <c r="L17">
        <f t="shared" si="0"/>
        <v>0</v>
      </c>
      <c r="O17">
        <f t="shared" si="1"/>
        <v>0</v>
      </c>
      <c r="R17">
        <f t="shared" si="2"/>
        <v>0</v>
      </c>
      <c r="U17">
        <f t="shared" si="3"/>
        <v>0</v>
      </c>
      <c r="V17">
        <f t="shared" si="4"/>
        <v>0</v>
      </c>
      <c r="W17" t="b">
        <f>ISODD(SUM($V$4:V17))</f>
        <v>0</v>
      </c>
    </row>
    <row r="18" spans="1:23" hidden="1" x14ac:dyDescent="0.25">
      <c r="A18" s="107"/>
      <c r="B18" s="111" t="str">
        <f>IF(Riepilogo!M37&gt;0,Riepilogo!M37/$B$2,"")</f>
        <v/>
      </c>
      <c r="C18" s="112" t="str">
        <f>IF(B18="","",Riepilogo!K37)</f>
        <v/>
      </c>
      <c r="D18" s="106"/>
      <c r="E18" s="111" t="str">
        <f>IF(Riepilogo!N37&gt;0,Riepilogo!N37/$E$2,"")</f>
        <v/>
      </c>
      <c r="F18" s="112" t="str">
        <f>IF(E18="","",Riepilogo!K37)</f>
        <v/>
      </c>
      <c r="G18" s="106"/>
      <c r="H18" s="111" t="str">
        <f>IF(Riepilogo!O37&gt;0,Riepilogo!O37/$H$2,"")</f>
        <v/>
      </c>
      <c r="I18" s="112" t="str">
        <f>IF(H18="","",Riepilogo!K37)</f>
        <v/>
      </c>
      <c r="J18" s="109"/>
      <c r="K18" s="106"/>
      <c r="L18">
        <f t="shared" si="0"/>
        <v>0</v>
      </c>
      <c r="O18">
        <f t="shared" si="1"/>
        <v>0</v>
      </c>
      <c r="R18">
        <f t="shared" si="2"/>
        <v>0</v>
      </c>
      <c r="U18">
        <f t="shared" si="3"/>
        <v>0</v>
      </c>
      <c r="V18">
        <f t="shared" si="4"/>
        <v>0</v>
      </c>
      <c r="W18" t="b">
        <f>ISODD(SUM($V$4:V18))</f>
        <v>0</v>
      </c>
    </row>
    <row r="19" spans="1:23" hidden="1" x14ac:dyDescent="0.25">
      <c r="A19" s="107"/>
      <c r="B19" s="111" t="str">
        <f>IF(Riepilogo!M38&gt;0,Riepilogo!M38/$B$2,"")</f>
        <v/>
      </c>
      <c r="C19" s="112" t="str">
        <f>IF(B19="","",Riepilogo!K38)</f>
        <v/>
      </c>
      <c r="D19" s="106"/>
      <c r="E19" s="111" t="str">
        <f>IF(Riepilogo!N38&gt;0,Riepilogo!N38/$E$2,"")</f>
        <v/>
      </c>
      <c r="F19" s="112" t="str">
        <f>IF(E19="","",Riepilogo!K38)</f>
        <v/>
      </c>
      <c r="G19" s="106"/>
      <c r="H19" s="111" t="str">
        <f>IF(Riepilogo!O38&gt;0,Riepilogo!O38/$H$2,"")</f>
        <v/>
      </c>
      <c r="I19" s="112" t="str">
        <f>IF(H19="","",Riepilogo!K38)</f>
        <v/>
      </c>
      <c r="J19" s="109"/>
      <c r="K19" s="106"/>
      <c r="L19">
        <f t="shared" si="0"/>
        <v>0</v>
      </c>
      <c r="O19">
        <f t="shared" si="1"/>
        <v>0</v>
      </c>
      <c r="R19">
        <f t="shared" si="2"/>
        <v>0</v>
      </c>
      <c r="U19">
        <f t="shared" si="3"/>
        <v>0</v>
      </c>
      <c r="V19">
        <f t="shared" si="4"/>
        <v>0</v>
      </c>
      <c r="W19" t="b">
        <f>ISODD(SUM($V$4:V19))</f>
        <v>0</v>
      </c>
    </row>
    <row r="20" spans="1:23" hidden="1" x14ac:dyDescent="0.25">
      <c r="A20" s="107"/>
      <c r="B20" s="111" t="str">
        <f>IF(Riepilogo!M39&gt;0,Riepilogo!M39/$B$2,"")</f>
        <v/>
      </c>
      <c r="C20" s="112" t="str">
        <f>IF(B20="","",Riepilogo!K39)</f>
        <v/>
      </c>
      <c r="D20" s="106"/>
      <c r="E20" s="111" t="str">
        <f>IF(Riepilogo!N39&gt;0,Riepilogo!N39/$E$2,"")</f>
        <v/>
      </c>
      <c r="F20" s="112" t="str">
        <f>IF(E20="","",Riepilogo!K39)</f>
        <v/>
      </c>
      <c r="G20" s="106"/>
      <c r="H20" s="111" t="str">
        <f>IF(Riepilogo!O39&gt;0,Riepilogo!O39/$H$2,"")</f>
        <v/>
      </c>
      <c r="I20" s="112" t="str">
        <f>IF(H20="","",Riepilogo!K39)</f>
        <v/>
      </c>
      <c r="J20" s="109"/>
      <c r="K20" s="106"/>
      <c r="L20">
        <f t="shared" si="0"/>
        <v>0</v>
      </c>
      <c r="O20">
        <f t="shared" si="1"/>
        <v>0</v>
      </c>
      <c r="R20">
        <f t="shared" si="2"/>
        <v>0</v>
      </c>
      <c r="U20">
        <f t="shared" si="3"/>
        <v>0</v>
      </c>
      <c r="V20">
        <f t="shared" si="4"/>
        <v>0</v>
      </c>
      <c r="W20" t="b">
        <f>ISODD(SUM($V$4:V20))</f>
        <v>0</v>
      </c>
    </row>
    <row r="21" spans="1:23" hidden="1" x14ac:dyDescent="0.25">
      <c r="A21" s="107"/>
      <c r="B21" s="111" t="str">
        <f>IF(Riepilogo!M40&gt;0,Riepilogo!M40/$B$2,"")</f>
        <v/>
      </c>
      <c r="C21" s="112" t="str">
        <f>IF(B21="","",Riepilogo!K40)</f>
        <v/>
      </c>
      <c r="D21" s="106"/>
      <c r="E21" s="111" t="str">
        <f>IF(Riepilogo!N40&gt;0,Riepilogo!N40/$E$2,"")</f>
        <v/>
      </c>
      <c r="F21" s="112" t="str">
        <f>IF(E21="","",Riepilogo!K40)</f>
        <v/>
      </c>
      <c r="G21" s="106"/>
      <c r="H21" s="111" t="str">
        <f>IF(Riepilogo!O40&gt;0,Riepilogo!O40/$H$2,"")</f>
        <v/>
      </c>
      <c r="I21" s="112" t="str">
        <f>IF(H21="","",Riepilogo!K40)</f>
        <v/>
      </c>
      <c r="J21" s="109"/>
      <c r="K21" s="106"/>
      <c r="L21">
        <f t="shared" ref="L21" si="5">IF(B21="",0,B21)</f>
        <v>0</v>
      </c>
      <c r="O21">
        <f t="shared" ref="O21" si="6">IF(E21="",0,E21)</f>
        <v>0</v>
      </c>
      <c r="R21">
        <f t="shared" ref="R21" si="7">IF(H21="",0,H21)</f>
        <v>0</v>
      </c>
      <c r="U21">
        <f t="shared" ref="U21" si="8">SUM(L21:T21)</f>
        <v>0</v>
      </c>
      <c r="V21">
        <f t="shared" ref="V21" si="9">IF(U21&gt;0,1,0)</f>
        <v>0</v>
      </c>
      <c r="W21" t="b">
        <f>ISODD(SUM($V$4:V21))</f>
        <v>0</v>
      </c>
    </row>
    <row r="22" spans="1:23" hidden="1" x14ac:dyDescent="0.25">
      <c r="A22" s="107"/>
      <c r="B22" s="111" t="str">
        <f>IF(Riepilogo!M41&gt;0,Riepilogo!M41/$B$2,"")</f>
        <v/>
      </c>
      <c r="C22" s="112" t="str">
        <f>IF(B22="","",Riepilogo!K41)</f>
        <v/>
      </c>
      <c r="D22" s="106"/>
      <c r="E22" s="111" t="str">
        <f>IF(Riepilogo!N41&gt;0,Riepilogo!N41/$E$2,"")</f>
        <v/>
      </c>
      <c r="F22" s="112" t="str">
        <f>IF(E22="","",Riepilogo!K41)</f>
        <v/>
      </c>
      <c r="G22" s="106"/>
      <c r="H22" s="111" t="str">
        <f>IF(Riepilogo!O41&gt;0,Riepilogo!O41/$H$2,"")</f>
        <v/>
      </c>
      <c r="I22" s="112" t="str">
        <f>IF(H22="","",Riepilogo!K41)</f>
        <v/>
      </c>
      <c r="J22" s="109"/>
      <c r="K22" s="106"/>
      <c r="L22">
        <f t="shared" ref="L22" si="10">IF(B22="",0,B22)</f>
        <v>0</v>
      </c>
      <c r="O22">
        <f t="shared" ref="O22" si="11">IF(E22="",0,E22)</f>
        <v>0</v>
      </c>
      <c r="R22">
        <f t="shared" ref="R22" si="12">IF(H22="",0,H22)</f>
        <v>0</v>
      </c>
      <c r="U22">
        <f t="shared" ref="U22" si="13">SUM(L22:T22)</f>
        <v>0</v>
      </c>
      <c r="V22">
        <f t="shared" ref="V22" si="14">IF(U22&gt;0,1,0)</f>
        <v>0</v>
      </c>
      <c r="W22" t="b">
        <f>ISODD(SUM($V$4:V22))</f>
        <v>0</v>
      </c>
    </row>
    <row r="23" spans="1:23" hidden="1" x14ac:dyDescent="0.25">
      <c r="A23" s="107"/>
      <c r="B23" s="111" t="str">
        <f>IF(Riepilogo!M44&gt;0,Riepilogo!M44/$B$2,"")</f>
        <v/>
      </c>
      <c r="C23" s="112" t="str">
        <f>IF(B23="","",CONCATENATE(Riepilogo!C44," - ",Riepilogo!K44))</f>
        <v/>
      </c>
      <c r="D23" s="106"/>
      <c r="E23" s="111" t="str">
        <f>IF(Riepilogo!N44&gt;0,Riepilogo!N44/$E$2,"")</f>
        <v/>
      </c>
      <c r="F23" s="112" t="str">
        <f>IF(E23="","",CONCATENATE(Riepilogo!C44," - ",Riepilogo!K44))</f>
        <v/>
      </c>
      <c r="G23" s="106"/>
      <c r="H23" s="111" t="str">
        <f>IF(Riepilogo!O44&gt;0,Riepilogo!O44/$H$2,"")</f>
        <v/>
      </c>
      <c r="I23" s="112" t="str">
        <f>IF(H23="","",CONCATENATE(Riepilogo!C44," - ",Riepilogo!K44))</f>
        <v/>
      </c>
      <c r="J23" s="109"/>
      <c r="K23" s="106"/>
      <c r="L23">
        <f t="shared" si="0"/>
        <v>0</v>
      </c>
      <c r="O23">
        <f t="shared" si="1"/>
        <v>0</v>
      </c>
      <c r="R23">
        <f t="shared" si="2"/>
        <v>0</v>
      </c>
      <c r="U23">
        <f t="shared" si="3"/>
        <v>0</v>
      </c>
      <c r="V23">
        <f t="shared" si="4"/>
        <v>0</v>
      </c>
      <c r="W23" t="b">
        <f>ISODD(SUM($V$4:V23))</f>
        <v>0</v>
      </c>
    </row>
    <row r="24" spans="1:23" hidden="1" x14ac:dyDescent="0.25">
      <c r="A24" s="107"/>
      <c r="B24" s="111" t="str">
        <f>IF(Riepilogo!M45&gt;0,Riepilogo!M45/$B$2,"")</f>
        <v/>
      </c>
      <c r="C24" s="112" t="str">
        <f>IF(B24="","",CONCATENATE(Riepilogo!C45," - ",Riepilogo!K45))</f>
        <v/>
      </c>
      <c r="D24" s="106"/>
      <c r="E24" s="111" t="str">
        <f>IF(Riepilogo!N45&gt;0,Riepilogo!N45/$E$2,"")</f>
        <v/>
      </c>
      <c r="F24" s="112" t="str">
        <f>IF(E24="","",CONCATENATE(Riepilogo!C45," - ",Riepilogo!K45))</f>
        <v/>
      </c>
      <c r="G24" s="106"/>
      <c r="H24" s="111" t="str">
        <f>IF(Riepilogo!O45&gt;0,Riepilogo!O45/$H$2,"")</f>
        <v/>
      </c>
      <c r="I24" s="112" t="str">
        <f>IF(H24="","",CONCATENATE(Riepilogo!C45," - ",Riepilogo!K45))</f>
        <v/>
      </c>
      <c r="J24" s="109"/>
      <c r="K24" s="106"/>
      <c r="L24">
        <f t="shared" si="0"/>
        <v>0</v>
      </c>
      <c r="O24">
        <f t="shared" si="1"/>
        <v>0</v>
      </c>
      <c r="R24">
        <f t="shared" si="2"/>
        <v>0</v>
      </c>
      <c r="U24">
        <f t="shared" si="3"/>
        <v>0</v>
      </c>
      <c r="V24">
        <f t="shared" si="4"/>
        <v>0</v>
      </c>
      <c r="W24" t="b">
        <f>ISODD(SUM($V$4:V24))</f>
        <v>0</v>
      </c>
    </row>
    <row r="25" spans="1:23" hidden="1" x14ac:dyDescent="0.25">
      <c r="A25" s="107"/>
      <c r="B25" s="111" t="str">
        <f>IF(Riepilogo!M46&gt;0,Riepilogo!M46/$B$2,"")</f>
        <v/>
      </c>
      <c r="C25" s="112" t="str">
        <f>IF(B25="","",CONCATENATE(Riepilogo!C46," - ",Riepilogo!K46))</f>
        <v/>
      </c>
      <c r="D25" s="106"/>
      <c r="E25" s="111" t="str">
        <f>IF(Riepilogo!N46&gt;0,Riepilogo!N46/$E$2,"")</f>
        <v/>
      </c>
      <c r="F25" s="112" t="str">
        <f>IF(E25="","",CONCATENATE(Riepilogo!C46," - ",Riepilogo!K46))</f>
        <v/>
      </c>
      <c r="G25" s="106"/>
      <c r="H25" s="111" t="str">
        <f>IF(Riepilogo!O46&gt;0,Riepilogo!O46/$H$2,"")</f>
        <v/>
      </c>
      <c r="I25" s="112" t="str">
        <f>IF(H25="","",CONCATENATE(Riepilogo!C46," - ",Riepilogo!K46))</f>
        <v/>
      </c>
      <c r="J25" s="109"/>
      <c r="K25" s="106"/>
      <c r="L25">
        <f t="shared" si="0"/>
        <v>0</v>
      </c>
      <c r="O25">
        <f t="shared" si="1"/>
        <v>0</v>
      </c>
      <c r="R25">
        <f t="shared" si="2"/>
        <v>0</v>
      </c>
      <c r="U25">
        <f t="shared" si="3"/>
        <v>0</v>
      </c>
      <c r="V25">
        <f t="shared" si="4"/>
        <v>0</v>
      </c>
      <c r="W25" t="b">
        <f>ISODD(SUM($V$4:V25))</f>
        <v>0</v>
      </c>
    </row>
    <row r="26" spans="1:23" hidden="1" x14ac:dyDescent="0.25">
      <c r="A26" s="107"/>
      <c r="B26" s="111" t="str">
        <f>IF(Riepilogo!M47&gt;0,Riepilogo!M47/$B$2,"")</f>
        <v/>
      </c>
      <c r="C26" s="112" t="str">
        <f>IF(B26="","",CONCATENATE(Riepilogo!C47," - ",Riepilogo!K47))</f>
        <v/>
      </c>
      <c r="D26" s="106"/>
      <c r="E26" s="111" t="str">
        <f>IF(Riepilogo!N47&gt;0,Riepilogo!N47/$E$2,"")</f>
        <v/>
      </c>
      <c r="F26" s="112" t="str">
        <f>IF(E26="","",CONCATENATE(Riepilogo!C47," - ",Riepilogo!K47))</f>
        <v/>
      </c>
      <c r="G26" s="106"/>
      <c r="H26" s="111" t="str">
        <f>IF(Riepilogo!O47&gt;0,Riepilogo!O47/$H$2,"")</f>
        <v/>
      </c>
      <c r="I26" s="112" t="str">
        <f>IF(H26="","",CONCATENATE(Riepilogo!C47," - ",Riepilogo!K47))</f>
        <v/>
      </c>
      <c r="J26" s="109"/>
      <c r="K26" s="106"/>
      <c r="L26">
        <f t="shared" si="0"/>
        <v>0</v>
      </c>
      <c r="O26">
        <f t="shared" si="1"/>
        <v>0</v>
      </c>
      <c r="R26">
        <f t="shared" si="2"/>
        <v>0</v>
      </c>
      <c r="U26">
        <f t="shared" si="3"/>
        <v>0</v>
      </c>
      <c r="V26">
        <f t="shared" si="4"/>
        <v>0</v>
      </c>
      <c r="W26" t="b">
        <f>ISODD(SUM($V$4:V26))</f>
        <v>0</v>
      </c>
    </row>
    <row r="27" spans="1:23" hidden="1" x14ac:dyDescent="0.25">
      <c r="A27" s="107"/>
      <c r="B27" s="111" t="str">
        <f>IF(Riepilogo!M48&gt;0,Riepilogo!M48/$B$2,"")</f>
        <v/>
      </c>
      <c r="C27" s="112" t="str">
        <f>IF(B27="","",CONCATENATE(Riepilogo!C48," - ",Riepilogo!K48))</f>
        <v/>
      </c>
      <c r="D27" s="106"/>
      <c r="E27" s="111" t="str">
        <f>IF(Riepilogo!N48&gt;0,Riepilogo!N48/$E$2,"")</f>
        <v/>
      </c>
      <c r="F27" s="112" t="str">
        <f>IF(E27="","",CONCATENATE(Riepilogo!C48," - ",Riepilogo!K48))</f>
        <v/>
      </c>
      <c r="G27" s="106"/>
      <c r="H27" s="111" t="str">
        <f>IF(Riepilogo!O48&gt;0,Riepilogo!O48/$H$2,"")</f>
        <v/>
      </c>
      <c r="I27" s="112" t="str">
        <f>IF(H27="","",CONCATENATE(Riepilogo!C48," - ",Riepilogo!K48))</f>
        <v/>
      </c>
      <c r="J27" s="109"/>
      <c r="K27" s="106"/>
      <c r="L27">
        <f t="shared" si="0"/>
        <v>0</v>
      </c>
      <c r="O27">
        <f t="shared" si="1"/>
        <v>0</v>
      </c>
      <c r="R27">
        <f t="shared" si="2"/>
        <v>0</v>
      </c>
      <c r="U27">
        <f t="shared" si="3"/>
        <v>0</v>
      </c>
      <c r="V27">
        <f t="shared" si="4"/>
        <v>0</v>
      </c>
      <c r="W27" t="b">
        <f>ISODD(SUM($V$4:V27))</f>
        <v>0</v>
      </c>
    </row>
    <row r="28" spans="1:23" hidden="1" x14ac:dyDescent="0.25">
      <c r="A28" s="107"/>
      <c r="B28" s="111" t="str">
        <f>IF(Riepilogo!M49&gt;0,Riepilogo!M49/$B$2,"")</f>
        <v/>
      </c>
      <c r="C28" s="112" t="str">
        <f>IF(B28="","",CONCATENATE(Riepilogo!C49," - ",Riepilogo!K49))</f>
        <v/>
      </c>
      <c r="D28" s="106"/>
      <c r="E28" s="111" t="str">
        <f>IF(Riepilogo!N49&gt;0,Riepilogo!N49/$E$2,"")</f>
        <v/>
      </c>
      <c r="F28" s="112" t="str">
        <f>IF(E28="","",CONCATENATE(Riepilogo!C49," - ",Riepilogo!K49))</f>
        <v/>
      </c>
      <c r="G28" s="106"/>
      <c r="H28" s="111" t="str">
        <f>IF(Riepilogo!O49&gt;0,Riepilogo!O49/$H$2,"")</f>
        <v/>
      </c>
      <c r="I28" s="112" t="str">
        <f>IF(H28="","",CONCATENATE(Riepilogo!C49," - ",Riepilogo!K49))</f>
        <v/>
      </c>
      <c r="J28" s="109"/>
      <c r="K28" s="106"/>
      <c r="L28">
        <f t="shared" si="0"/>
        <v>0</v>
      </c>
      <c r="O28">
        <f t="shared" si="1"/>
        <v>0</v>
      </c>
      <c r="R28">
        <f t="shared" si="2"/>
        <v>0</v>
      </c>
      <c r="U28">
        <f t="shared" si="3"/>
        <v>0</v>
      </c>
      <c r="V28">
        <f t="shared" si="4"/>
        <v>0</v>
      </c>
      <c r="W28" t="b">
        <f>ISODD(SUM($V$4:V28))</f>
        <v>0</v>
      </c>
    </row>
    <row r="29" spans="1:23" hidden="1" x14ac:dyDescent="0.25">
      <c r="A29" s="107"/>
      <c r="B29" s="111" t="str">
        <f>IF(Riepilogo!M50&gt;0,Riepilogo!M50/$B$2,"")</f>
        <v/>
      </c>
      <c r="C29" s="112" t="str">
        <f>IF(B29="","",CONCATENATE(Riepilogo!C50," - ",Riepilogo!K50))</f>
        <v/>
      </c>
      <c r="D29" s="106"/>
      <c r="E29" s="111" t="str">
        <f>IF(Riepilogo!N50&gt;0,Riepilogo!N50/$E$2,"")</f>
        <v/>
      </c>
      <c r="F29" s="112" t="str">
        <f>IF(E29="","",CONCATENATE(Riepilogo!C50," - ",Riepilogo!K50))</f>
        <v/>
      </c>
      <c r="G29" s="106"/>
      <c r="H29" s="111" t="str">
        <f>IF(Riepilogo!O50&gt;0,Riepilogo!O50/$H$2,"")</f>
        <v/>
      </c>
      <c r="I29" s="112" t="str">
        <f>IF(H29="","",CONCATENATE(Riepilogo!C50," - ",Riepilogo!K50))</f>
        <v/>
      </c>
      <c r="J29" s="109"/>
      <c r="K29" s="106"/>
      <c r="L29">
        <f t="shared" si="0"/>
        <v>0</v>
      </c>
      <c r="O29">
        <f t="shared" si="1"/>
        <v>0</v>
      </c>
      <c r="R29">
        <f t="shared" si="2"/>
        <v>0</v>
      </c>
      <c r="U29">
        <f t="shared" si="3"/>
        <v>0</v>
      </c>
      <c r="V29">
        <f t="shared" si="4"/>
        <v>0</v>
      </c>
      <c r="W29" t="b">
        <f>ISODD(SUM($V$4:V29))</f>
        <v>0</v>
      </c>
    </row>
    <row r="30" spans="1:23" hidden="1" x14ac:dyDescent="0.25">
      <c r="A30" s="107"/>
      <c r="B30" s="111" t="str">
        <f>IF(Riepilogo!M51&gt;0,Riepilogo!M51/$B$2,"")</f>
        <v/>
      </c>
      <c r="C30" s="112" t="str">
        <f>IF(B30="","",CONCATENATE(Riepilogo!C51," - ",Riepilogo!K51))</f>
        <v/>
      </c>
      <c r="D30" s="106"/>
      <c r="E30" s="111" t="str">
        <f>IF(Riepilogo!N51&gt;0,Riepilogo!N51/$E$2,"")</f>
        <v/>
      </c>
      <c r="F30" s="112" t="str">
        <f>IF(E30="","",CONCATENATE(Riepilogo!C51," - ",Riepilogo!K51))</f>
        <v/>
      </c>
      <c r="G30" s="106"/>
      <c r="H30" s="111" t="str">
        <f>IF(Riepilogo!O51&gt;0,Riepilogo!O51/$H$2,"")</f>
        <v/>
      </c>
      <c r="I30" s="112" t="str">
        <f>IF(H30="","",CONCATENATE(Riepilogo!C51," - ",Riepilogo!K51))</f>
        <v/>
      </c>
      <c r="J30" s="109"/>
      <c r="K30" s="106"/>
      <c r="L30">
        <f t="shared" si="0"/>
        <v>0</v>
      </c>
      <c r="O30">
        <f t="shared" si="1"/>
        <v>0</v>
      </c>
      <c r="R30">
        <f t="shared" si="2"/>
        <v>0</v>
      </c>
      <c r="U30">
        <f t="shared" si="3"/>
        <v>0</v>
      </c>
      <c r="V30">
        <f t="shared" si="4"/>
        <v>0</v>
      </c>
      <c r="W30" t="b">
        <f>ISODD(SUM($V$4:V30))</f>
        <v>0</v>
      </c>
    </row>
    <row r="31" spans="1:23" hidden="1" x14ac:dyDescent="0.25">
      <c r="A31" s="107"/>
      <c r="B31" s="111" t="str">
        <f>IF(Riepilogo!M52&gt;0,Riepilogo!M52/$B$2,"")</f>
        <v/>
      </c>
      <c r="C31" s="112" t="str">
        <f>IF(B31="","",CONCATENATE(Riepilogo!C52," - ",Riepilogo!K52))</f>
        <v/>
      </c>
      <c r="D31" s="106"/>
      <c r="E31" s="111" t="str">
        <f>IF(Riepilogo!N52&gt;0,Riepilogo!N52/$E$2,"")</f>
        <v/>
      </c>
      <c r="F31" s="112" t="str">
        <f>IF(E31="","",CONCATENATE(Riepilogo!C52," - ",Riepilogo!K52))</f>
        <v/>
      </c>
      <c r="G31" s="106"/>
      <c r="H31" s="111" t="str">
        <f>IF(Riepilogo!O52&gt;0,Riepilogo!O52/$H$2,"")</f>
        <v/>
      </c>
      <c r="I31" s="112" t="str">
        <f>IF(H31="","",CONCATENATE(Riepilogo!C52," - ",Riepilogo!K52))</f>
        <v/>
      </c>
      <c r="J31" s="109"/>
      <c r="K31" s="106"/>
      <c r="L31">
        <f t="shared" si="0"/>
        <v>0</v>
      </c>
      <c r="O31">
        <f t="shared" si="1"/>
        <v>0</v>
      </c>
      <c r="R31">
        <f t="shared" si="2"/>
        <v>0</v>
      </c>
      <c r="U31">
        <f t="shared" si="3"/>
        <v>0</v>
      </c>
      <c r="V31">
        <f t="shared" si="4"/>
        <v>0</v>
      </c>
      <c r="W31" t="b">
        <f>ISODD(SUM($V$4:V31))</f>
        <v>0</v>
      </c>
    </row>
    <row r="32" spans="1:23" hidden="1" x14ac:dyDescent="0.25">
      <c r="A32" s="107"/>
      <c r="B32" s="111" t="str">
        <f>IF(Riepilogo!M53&gt;0,Riepilogo!M53/$B$2,"")</f>
        <v/>
      </c>
      <c r="C32" s="112" t="str">
        <f>IF(B32="","",CONCATENATE(Riepilogo!C53," - ",Riepilogo!K53))</f>
        <v/>
      </c>
      <c r="D32" s="106"/>
      <c r="E32" s="111" t="str">
        <f>IF(Riepilogo!N53&gt;0,Riepilogo!N53/$E$2,"")</f>
        <v/>
      </c>
      <c r="F32" s="112" t="str">
        <f>IF(E32="","",CONCATENATE(Riepilogo!C53," - ",Riepilogo!K53))</f>
        <v/>
      </c>
      <c r="G32" s="106"/>
      <c r="H32" s="111" t="str">
        <f>IF(Riepilogo!O53&gt;0,Riepilogo!O53/$H$2,"")</f>
        <v/>
      </c>
      <c r="I32" s="112" t="str">
        <f>IF(H32="","",CONCATENATE(Riepilogo!C53," - ",Riepilogo!K53))</f>
        <v/>
      </c>
      <c r="J32" s="109"/>
      <c r="K32" s="106"/>
      <c r="L32">
        <f t="shared" si="0"/>
        <v>0</v>
      </c>
      <c r="O32">
        <f t="shared" si="1"/>
        <v>0</v>
      </c>
      <c r="R32">
        <f t="shared" si="2"/>
        <v>0</v>
      </c>
      <c r="U32">
        <f t="shared" si="3"/>
        <v>0</v>
      </c>
      <c r="V32">
        <f t="shared" si="4"/>
        <v>0</v>
      </c>
      <c r="W32" t="b">
        <f>ISODD(SUM($V$4:V32))</f>
        <v>0</v>
      </c>
    </row>
    <row r="33" spans="1:23" hidden="1" x14ac:dyDescent="0.25">
      <c r="A33" s="107"/>
      <c r="B33" s="111" t="str">
        <f>IF(Riepilogo!M54&gt;0,Riepilogo!M54/$B$2,"")</f>
        <v/>
      </c>
      <c r="C33" s="112" t="str">
        <f>IF(B33="","",CONCATENATE(Riepilogo!C54," - ",Riepilogo!K54))</f>
        <v/>
      </c>
      <c r="D33" s="106"/>
      <c r="E33" s="111" t="str">
        <f>IF(Riepilogo!N54&gt;0,Riepilogo!N54/$E$2,"")</f>
        <v/>
      </c>
      <c r="F33" s="112" t="str">
        <f>IF(E33="","",CONCATENATE(Riepilogo!C54," - ",Riepilogo!K54))</f>
        <v/>
      </c>
      <c r="G33" s="106"/>
      <c r="H33" s="111" t="str">
        <f>IF(Riepilogo!O54&gt;0,Riepilogo!O54/$H$2,"")</f>
        <v/>
      </c>
      <c r="I33" s="112" t="str">
        <f>IF(H33="","",CONCATENATE(Riepilogo!C54," - ",Riepilogo!K54))</f>
        <v/>
      </c>
      <c r="J33" s="109"/>
      <c r="K33" s="106"/>
      <c r="L33">
        <f t="shared" si="0"/>
        <v>0</v>
      </c>
      <c r="O33">
        <f t="shared" si="1"/>
        <v>0</v>
      </c>
      <c r="R33">
        <f t="shared" si="2"/>
        <v>0</v>
      </c>
      <c r="U33">
        <f t="shared" si="3"/>
        <v>0</v>
      </c>
      <c r="V33">
        <f t="shared" si="4"/>
        <v>0</v>
      </c>
      <c r="W33" t="b">
        <f>ISODD(SUM($V$4:V33))</f>
        <v>0</v>
      </c>
    </row>
    <row r="34" spans="1:23" hidden="1" x14ac:dyDescent="0.25">
      <c r="A34" s="107"/>
      <c r="B34" s="106"/>
      <c r="C34" s="106"/>
      <c r="D34" s="106"/>
      <c r="E34" s="106"/>
      <c r="F34" s="106"/>
      <c r="G34" s="106"/>
      <c r="H34" s="106"/>
      <c r="I34" s="106"/>
      <c r="J34" s="109"/>
      <c r="K34" s="106"/>
      <c r="V34">
        <f>IF($U$4&gt;0,1,0)</f>
        <v>0</v>
      </c>
    </row>
    <row r="35" spans="1:23" hidden="1" x14ac:dyDescent="0.25">
      <c r="A35" s="107"/>
      <c r="B35" s="287" t="s">
        <v>166</v>
      </c>
      <c r="C35" s="287"/>
      <c r="D35" s="106"/>
      <c r="E35" s="287" t="s">
        <v>166</v>
      </c>
      <c r="F35" s="287"/>
      <c r="G35" s="106"/>
      <c r="H35" s="287" t="s">
        <v>166</v>
      </c>
      <c r="I35" s="287"/>
      <c r="J35" s="109"/>
      <c r="K35" s="106"/>
      <c r="V35">
        <f t="shared" ref="V35:V47" si="15">IF($U$4&gt;0,1,0)</f>
        <v>0</v>
      </c>
    </row>
    <row r="36" spans="1:23" ht="15" hidden="1" customHeight="1" x14ac:dyDescent="0.25">
      <c r="A36" s="107"/>
      <c r="B36" s="288" t="str">
        <f>Lotto2_T640_1!H30</f>
        <v>Specificare la configurazione RAID per l'installazione del Sistema Operativo, se richiesto.
e/o
inserire eventuali note.</v>
      </c>
      <c r="C36" s="288"/>
      <c r="D36" s="106"/>
      <c r="E36" s="288" t="str">
        <f>Lotto2_T640_2!H30</f>
        <v>Specificare la configurazione RAID per l'installazione del Sistema Operativo, se richiesto.
e/o
inserire eventuali note.</v>
      </c>
      <c r="F36" s="288"/>
      <c r="G36" s="106"/>
      <c r="H36" s="288" t="str">
        <f>Lotto2_T640_3!H30</f>
        <v>Specificare la configurazione RAID per l'installazione del Sistema Operativo, se richiesto.
e/o
inserire eventuali note.</v>
      </c>
      <c r="I36" s="288"/>
      <c r="J36" s="109"/>
      <c r="K36" s="106"/>
      <c r="V36">
        <f t="shared" si="15"/>
        <v>0</v>
      </c>
    </row>
    <row r="37" spans="1:23" hidden="1" x14ac:dyDescent="0.25">
      <c r="A37" s="107"/>
      <c r="B37" s="288"/>
      <c r="C37" s="288"/>
      <c r="D37" s="106"/>
      <c r="E37" s="288"/>
      <c r="F37" s="288"/>
      <c r="G37" s="106"/>
      <c r="H37" s="288"/>
      <c r="I37" s="288"/>
      <c r="J37" s="109"/>
      <c r="K37" s="106"/>
      <c r="V37">
        <f t="shared" si="15"/>
        <v>0</v>
      </c>
    </row>
    <row r="38" spans="1:23" hidden="1" x14ac:dyDescent="0.25">
      <c r="A38" s="107"/>
      <c r="B38" s="288"/>
      <c r="C38" s="288"/>
      <c r="D38" s="106"/>
      <c r="E38" s="288"/>
      <c r="F38" s="288"/>
      <c r="G38" s="106"/>
      <c r="H38" s="288"/>
      <c r="I38" s="288"/>
      <c r="J38" s="109"/>
      <c r="K38" s="106"/>
      <c r="V38">
        <f t="shared" si="15"/>
        <v>0</v>
      </c>
    </row>
    <row r="39" spans="1:23" hidden="1" x14ac:dyDescent="0.25">
      <c r="A39" s="107"/>
      <c r="B39" s="288"/>
      <c r="C39" s="288"/>
      <c r="D39" s="106"/>
      <c r="E39" s="288"/>
      <c r="F39" s="288"/>
      <c r="G39" s="106"/>
      <c r="H39" s="288"/>
      <c r="I39" s="288"/>
      <c r="J39" s="109"/>
      <c r="K39" s="106"/>
      <c r="V39">
        <f t="shared" si="15"/>
        <v>0</v>
      </c>
    </row>
    <row r="40" spans="1:23" hidden="1" x14ac:dyDescent="0.25">
      <c r="A40" s="107"/>
      <c r="B40" s="288"/>
      <c r="C40" s="288"/>
      <c r="D40" s="106"/>
      <c r="E40" s="288"/>
      <c r="F40" s="288"/>
      <c r="G40" s="106"/>
      <c r="H40" s="288"/>
      <c r="I40" s="288"/>
      <c r="J40" s="109"/>
      <c r="K40" s="106"/>
      <c r="V40">
        <f t="shared" si="15"/>
        <v>0</v>
      </c>
    </row>
    <row r="41" spans="1:23" hidden="1" x14ac:dyDescent="0.25">
      <c r="A41" s="107"/>
      <c r="B41" s="288"/>
      <c r="C41" s="288"/>
      <c r="D41" s="106"/>
      <c r="E41" s="288"/>
      <c r="F41" s="288"/>
      <c r="G41" s="106"/>
      <c r="H41" s="288"/>
      <c r="I41" s="288"/>
      <c r="J41" s="109"/>
      <c r="K41" s="106"/>
      <c r="V41">
        <f t="shared" si="15"/>
        <v>0</v>
      </c>
    </row>
    <row r="42" spans="1:23" hidden="1" x14ac:dyDescent="0.25">
      <c r="A42" s="107"/>
      <c r="B42" s="288"/>
      <c r="C42" s="288"/>
      <c r="D42" s="106"/>
      <c r="E42" s="288"/>
      <c r="F42" s="288"/>
      <c r="G42" s="106"/>
      <c r="H42" s="288"/>
      <c r="I42" s="288"/>
      <c r="J42" s="109"/>
      <c r="K42" s="106"/>
      <c r="V42">
        <f t="shared" si="15"/>
        <v>0</v>
      </c>
    </row>
    <row r="43" spans="1:23" hidden="1" x14ac:dyDescent="0.25">
      <c r="A43" s="107"/>
      <c r="B43" s="288"/>
      <c r="C43" s="288"/>
      <c r="D43" s="106"/>
      <c r="E43" s="288"/>
      <c r="F43" s="288"/>
      <c r="G43" s="106"/>
      <c r="H43" s="288"/>
      <c r="I43" s="288"/>
      <c r="J43" s="109"/>
      <c r="K43" s="106"/>
      <c r="V43">
        <f t="shared" si="15"/>
        <v>0</v>
      </c>
    </row>
    <row r="44" spans="1:23" hidden="1" x14ac:dyDescent="0.25">
      <c r="A44" s="107"/>
      <c r="B44" s="288"/>
      <c r="C44" s="288"/>
      <c r="D44" s="106"/>
      <c r="E44" s="288"/>
      <c r="F44" s="288"/>
      <c r="G44" s="106"/>
      <c r="H44" s="288"/>
      <c r="I44" s="288"/>
      <c r="J44" s="109"/>
      <c r="K44" s="106"/>
      <c r="V44">
        <f t="shared" si="15"/>
        <v>0</v>
      </c>
    </row>
    <row r="45" spans="1:23" hidden="1" x14ac:dyDescent="0.25">
      <c r="A45" s="107"/>
      <c r="B45" s="288"/>
      <c r="C45" s="288"/>
      <c r="D45" s="106"/>
      <c r="E45" s="288"/>
      <c r="F45" s="288"/>
      <c r="G45" s="106"/>
      <c r="H45" s="288"/>
      <c r="I45" s="288"/>
      <c r="J45" s="109"/>
      <c r="K45" s="106"/>
      <c r="V45">
        <f t="shared" si="15"/>
        <v>0</v>
      </c>
    </row>
    <row r="46" spans="1:23" hidden="1" x14ac:dyDescent="0.25">
      <c r="A46" s="107"/>
      <c r="B46" s="288"/>
      <c r="C46" s="288"/>
      <c r="D46" s="106"/>
      <c r="E46" s="288"/>
      <c r="F46" s="288"/>
      <c r="G46" s="106"/>
      <c r="H46" s="288"/>
      <c r="I46" s="288"/>
      <c r="J46" s="109"/>
      <c r="K46" s="106"/>
      <c r="V46">
        <f t="shared" si="15"/>
        <v>0</v>
      </c>
    </row>
    <row r="47" spans="1:23" hidden="1" x14ac:dyDescent="0.25">
      <c r="A47" s="107"/>
      <c r="B47" s="288"/>
      <c r="C47" s="288"/>
      <c r="D47" s="106"/>
      <c r="E47" s="288"/>
      <c r="F47" s="288"/>
      <c r="G47" s="106"/>
      <c r="H47" s="288"/>
      <c r="I47" s="288"/>
      <c r="J47" s="109"/>
      <c r="K47" s="106"/>
      <c r="V47">
        <f t="shared" si="15"/>
        <v>0</v>
      </c>
    </row>
    <row r="48" spans="1:23" ht="15.75" thickBot="1" x14ac:dyDescent="0.3">
      <c r="A48" s="113"/>
      <c r="B48" s="114"/>
      <c r="C48" s="114"/>
      <c r="D48" s="114"/>
      <c r="E48" s="114"/>
      <c r="F48" s="114"/>
      <c r="G48" s="114"/>
      <c r="H48" s="114"/>
      <c r="I48" s="114"/>
      <c r="J48" s="115"/>
      <c r="K48" s="106"/>
      <c r="V48">
        <v>1</v>
      </c>
    </row>
    <row r="49" spans="1:22" x14ac:dyDescent="0.25">
      <c r="A49" s="103"/>
      <c r="B49" s="104"/>
      <c r="C49" s="104"/>
      <c r="D49" s="104"/>
      <c r="E49" s="104"/>
      <c r="F49" s="104"/>
      <c r="G49" s="104"/>
      <c r="H49" s="104"/>
      <c r="I49" s="104"/>
      <c r="J49" s="105"/>
      <c r="K49" s="106"/>
      <c r="V49">
        <v>1</v>
      </c>
    </row>
    <row r="50" spans="1:22" x14ac:dyDescent="0.25">
      <c r="A50" s="107"/>
      <c r="B50" s="283" t="s">
        <v>233</v>
      </c>
      <c r="C50" s="283"/>
      <c r="D50" s="283"/>
      <c r="E50" s="283"/>
      <c r="F50" s="283"/>
      <c r="G50" s="283"/>
      <c r="H50" s="283"/>
      <c r="I50" s="283"/>
      <c r="J50" s="109"/>
      <c r="K50" s="106"/>
      <c r="V50">
        <v>1</v>
      </c>
    </row>
    <row r="51" spans="1:22" ht="15.75" thickBot="1" x14ac:dyDescent="0.3">
      <c r="A51" s="107"/>
      <c r="B51" s="106"/>
      <c r="C51" s="106"/>
      <c r="D51" s="106"/>
      <c r="E51" s="106"/>
      <c r="F51" s="106"/>
      <c r="G51" s="106"/>
      <c r="H51" s="106"/>
      <c r="I51" s="106"/>
      <c r="J51" s="109"/>
      <c r="K51" s="106"/>
      <c r="V51">
        <v>1</v>
      </c>
    </row>
    <row r="52" spans="1:22" ht="15.75" thickBot="1" x14ac:dyDescent="0.3">
      <c r="A52" s="107"/>
      <c r="B52" s="284" t="s">
        <v>234</v>
      </c>
      <c r="C52" s="285"/>
      <c r="D52" s="286"/>
      <c r="E52" s="106"/>
      <c r="F52" s="106"/>
      <c r="G52" s="284" t="s">
        <v>235</v>
      </c>
      <c r="H52" s="285"/>
      <c r="I52" s="286"/>
      <c r="J52" s="109"/>
      <c r="K52" s="106"/>
      <c r="V52">
        <v>1</v>
      </c>
    </row>
    <row r="53" spans="1:22" x14ac:dyDescent="0.25">
      <c r="A53" s="107"/>
      <c r="B53" s="103"/>
      <c r="C53" s="104"/>
      <c r="D53" s="105"/>
      <c r="E53" s="106"/>
      <c r="F53" s="106"/>
      <c r="G53" s="103"/>
      <c r="H53" s="104"/>
      <c r="I53" s="105"/>
      <c r="J53" s="109"/>
      <c r="K53" s="106"/>
      <c r="V53">
        <v>1</v>
      </c>
    </row>
    <row r="54" spans="1:22" x14ac:dyDescent="0.25">
      <c r="A54" s="107"/>
      <c r="B54" s="107"/>
      <c r="C54" s="106"/>
      <c r="D54" s="109"/>
      <c r="E54" s="106"/>
      <c r="F54" s="106"/>
      <c r="G54" s="107"/>
      <c r="H54" s="106"/>
      <c r="I54" s="109"/>
      <c r="J54" s="109"/>
      <c r="K54" s="106"/>
      <c r="V54">
        <v>1</v>
      </c>
    </row>
    <row r="55" spans="1:22" ht="15.75" thickBot="1" x14ac:dyDescent="0.3">
      <c r="A55" s="107"/>
      <c r="B55" s="113"/>
      <c r="C55" s="114"/>
      <c r="D55" s="115"/>
      <c r="E55" s="106"/>
      <c r="F55" s="106"/>
      <c r="G55" s="113"/>
      <c r="H55" s="114"/>
      <c r="I55" s="115"/>
      <c r="J55" s="109"/>
      <c r="K55" s="106"/>
      <c r="V55">
        <v>1</v>
      </c>
    </row>
    <row r="56" spans="1:22" ht="15.75" thickBot="1" x14ac:dyDescent="0.3">
      <c r="A56" s="113"/>
      <c r="B56" s="114"/>
      <c r="C56" s="114"/>
      <c r="D56" s="114"/>
      <c r="E56" s="114"/>
      <c r="F56" s="114"/>
      <c r="G56" s="114"/>
      <c r="H56" s="114"/>
      <c r="I56" s="114"/>
      <c r="J56" s="115"/>
      <c r="K56" s="106"/>
      <c r="V56">
        <v>1</v>
      </c>
    </row>
  </sheetData>
  <sheetProtection algorithmName="SHA-512" hashValue="V5u2drllv3JluZFMUtZOIxV6dGbYXeZGFeM0pBtAlxllYi71rd4i3dg/4NZbdxwYFbXdYXMreV93v/taQ6hYIQ==" saltValue="Wu+SGsOvcQHFhmMEgwE/5A==" spinCount="100000" sheet="1" objects="1" scenarios="1"/>
  <autoFilter ref="V1:V56" xr:uid="{00000000-0009-0000-0000-000007000000}">
    <filterColumn colId="0">
      <filters>
        <filter val="1"/>
      </filters>
    </filterColumn>
  </autoFilter>
  <mergeCells count="9">
    <mergeCell ref="B50:I50"/>
    <mergeCell ref="B52:D52"/>
    <mergeCell ref="G52:I52"/>
    <mergeCell ref="B35:C35"/>
    <mergeCell ref="B36:C47"/>
    <mergeCell ref="E35:F35"/>
    <mergeCell ref="E36:F47"/>
    <mergeCell ref="H35:I35"/>
    <mergeCell ref="H36:I47"/>
  </mergeCells>
  <conditionalFormatting sqref="B4:C33 E4:F33 H4:I33">
    <cfRule type="expression" dxfId="0" priority="4">
      <formula>$W4=TRUE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>
    <oddHeader>&amp;LInviare via mail a:
ordini-ts3-lotto2@converge.it&amp;RStampato il &amp;D</oddHeader>
    <oddFooter>&amp;CCopyright 2020 Converge S.p.A. -All Right Reserved&amp;RPagina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24</vt:i4>
      </vt:variant>
    </vt:vector>
  </HeadingPairs>
  <TitlesOfParts>
    <vt:vector size="32" baseType="lpstr">
      <vt:lpstr>Lotto2_T640_1</vt:lpstr>
      <vt:lpstr>Lotto2_T640_2</vt:lpstr>
      <vt:lpstr>Lotto2_T640_3</vt:lpstr>
      <vt:lpstr>ConfigurationTS3L2</vt:lpstr>
      <vt:lpstr>Tabella_prezzi</vt:lpstr>
      <vt:lpstr>Altre_Opzioni</vt:lpstr>
      <vt:lpstr>Riepilogo</vt:lpstr>
      <vt:lpstr>Configurazione</vt:lpstr>
      <vt:lpstr>L2N_1</vt:lpstr>
      <vt:lpstr>L2N_2</vt:lpstr>
      <vt:lpstr>L2N_3</vt:lpstr>
      <vt:lpstr>TS3L2_ALL</vt:lpstr>
      <vt:lpstr>TS3L2_BEZEL</vt:lpstr>
      <vt:lpstr>TS3L2_Chassis</vt:lpstr>
      <vt:lpstr>TS3L2_CPU</vt:lpstr>
      <vt:lpstr>TS3L2_DVD</vt:lpstr>
      <vt:lpstr>TS3L2_GUI</vt:lpstr>
      <vt:lpstr>TS3L2_HDD</vt:lpstr>
      <vt:lpstr>TS3L2_KYHDD</vt:lpstr>
      <vt:lpstr>TS3L2_OS</vt:lpstr>
      <vt:lpstr>TS3L2_PCI1</vt:lpstr>
      <vt:lpstr>TS3L2_PCI2</vt:lpstr>
      <vt:lpstr>TS3L2_PCI3</vt:lpstr>
      <vt:lpstr>TS3L2_PCI4</vt:lpstr>
      <vt:lpstr>TS3L2_PCI5</vt:lpstr>
      <vt:lpstr>TS3L2_PCI6</vt:lpstr>
      <vt:lpstr>TS3L2_PCI7</vt:lpstr>
      <vt:lpstr>TS3L2_PCI8</vt:lpstr>
      <vt:lpstr>TS3L2_PSU</vt:lpstr>
      <vt:lpstr>TS3L2_RAM</vt:lpstr>
      <vt:lpstr>TS3L2_UPS</vt:lpstr>
      <vt:lpstr>TS3L2_WARRANTY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D'Angelo</dc:creator>
  <cp:lastModifiedBy>Daniele</cp:lastModifiedBy>
  <cp:lastPrinted>2021-09-29T10:13:52Z</cp:lastPrinted>
  <dcterms:created xsi:type="dcterms:W3CDTF">2020-09-03T14:13:03Z</dcterms:created>
  <dcterms:modified xsi:type="dcterms:W3CDTF">2021-09-29T10:17:46Z</dcterms:modified>
</cp:coreProperties>
</file>